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showInkAnnotation="0" codeName="ThisWorkbook"/>
  <mc:AlternateContent xmlns:mc="http://schemas.openxmlformats.org/markup-compatibility/2006">
    <mc:Choice Requires="x15">
      <x15ac:absPath xmlns:x15ac="http://schemas.microsoft.com/office/spreadsheetml/2010/11/ac" url="O:\Miljø - Sekretariat\ESM\Kriterieredaktør\Kriterier Blomsten\EU54 - Produkter til pleje af dyr\"/>
    </mc:Choice>
  </mc:AlternateContent>
  <xr:revisionPtr revIDLastSave="0" documentId="8_{A87505C5-55A2-4ABE-AAC9-6953B316C88D}" xr6:coauthVersionLast="47" xr6:coauthVersionMax="47" xr10:uidLastSave="{00000000-0000-0000-0000-000000000000}"/>
  <bookViews>
    <workbookView xWindow="-120" yWindow="-120" windowWidth="29040" windowHeight="15840" tabRatio="895" xr2:uid="{00000000-000D-0000-FFFF-FFFF00000000}"/>
  </bookViews>
  <sheets>
    <sheet name="Confirmation" sheetId="30" r:id="rId1"/>
    <sheet name="Product formulation" sheetId="12" r:id="rId2"/>
    <sheet name="Ingoing substances" sheetId="15" r:id="rId3"/>
    <sheet name="Rinse-off - DID" sheetId="17" r:id="rId4"/>
    <sheet name="Results 1&amp;2" sheetId="19" r:id="rId5"/>
    <sheet name="Results 4" sheetId="25" r:id="rId6"/>
    <sheet name="Results 5" sheetId="24" r:id="rId7"/>
    <sheet name="Declaration-Rinse-off products" sheetId="21" r:id="rId8"/>
    <sheet name="DID-list_Part A" sheetId="18" r:id="rId9"/>
    <sheet name="DID-list_Part B" sheetId="28" r:id="rId10"/>
    <sheet name="Hoja2" sheetId="13" r:id="rId11"/>
  </sheets>
  <externalReferences>
    <externalReference r:id="rId12"/>
  </externalReferences>
  <definedNames>
    <definedName name="_xlnm._FilterDatabase" localSheetId="2" hidden="1">'Ingoing substances'!#REF!</definedName>
    <definedName name="_xlnm._FilterDatabase" localSheetId="1" hidden="1">'Product formulation'!$B$1:$C$3</definedName>
    <definedName name="_xlnm._FilterDatabase" localSheetId="4" hidden="1">'Results 1&amp;2'!#REF!</definedName>
    <definedName name="_xlnm._FilterDatabase" localSheetId="5" hidden="1">'Results 4'!#REF!</definedName>
    <definedName name="_xlnm._FilterDatabase" localSheetId="6" hidden="1">'Results 5'!#REF!</definedName>
    <definedName name="_xlnm._FilterDatabase" localSheetId="3" hidden="1">'Rinse-off - DID'!#REF!</definedName>
    <definedName name="ads">#REF!</definedName>
    <definedName name="af">#REF!</definedName>
    <definedName name="aNBO">#REF!</definedName>
    <definedName name="anNBO">#REF!</definedName>
    <definedName name="asf">#REF!</definedName>
    <definedName name="AW">#REF!</definedName>
    <definedName name="BCF">#REF!</definedName>
    <definedName name="Beschichtung">#REF!</definedName>
    <definedName name="Chemicalsubstances">#REF!</definedName>
    <definedName name="d">#REF!</definedName>
    <definedName name="db">#REF!</definedName>
    <definedName name="dgh">#REF!</definedName>
    <definedName name="DID">#REF!</definedName>
    <definedName name="dsf">#REF!</definedName>
    <definedName name="efggr">#REF!</definedName>
    <definedName name="electricity">#REF!</definedName>
    <definedName name="Etikett">#REF!</definedName>
    <definedName name="Flasche">#REF!</definedName>
    <definedName name="Funktion">#REF!</definedName>
    <definedName name="heatingenergy">#REF!</definedName>
    <definedName name="janein">#REF!</definedName>
    <definedName name="Manschette">#REF!</definedName>
    <definedName name="Nachweis">#REF!</definedName>
    <definedName name="Produktart">#REF!</definedName>
    <definedName name="sadf">#REF!</definedName>
    <definedName name="sdf">#REF!</definedName>
    <definedName name="sdgv">#REF!</definedName>
    <definedName name="Sprache">#REF!</definedName>
    <definedName name="Trade_name">'Product formulation'!$B$9:$B$37</definedName>
    <definedName name="Verschluss">#REF!</definedName>
    <definedName name="Vorproduktenummer">#REF!</definedName>
    <definedName name="waste">#REF!</definedName>
    <definedName name="water">#REF!</definedName>
    <definedName name="weggg">#REF!</definedName>
    <definedName name="Weight">'Product formulation'!$E$9:$E$37</definedName>
  </definedNames>
  <calcPr calcId="191029"/>
  <customWorkbookViews>
    <customWorkbookView name="VIDAL ABARCA GARRIDO Candela (JRC-SEVILLA) - Personal View" guid="{E0F1947B-DBB1-4302-8ABF-0F9B5D68BCD9}" mergeInterval="0" personalView="1" maximized="1" windowWidth="1916" windowHeight="694" tabRatio="859" activeSheetId="3" showComments="commIndAndComment"/>
    <customWorkbookView name="mrriera - Vista personalizada" guid="{B57AFC39-7BC2-4CBD-A0A8-87008E0DB765}" mergeInterval="0" personalView="1" maximized="1" xWindow="1" yWindow="1" windowWidth="1916" windowHeight="850" tabRatio="859"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1" i="21" l="1"/>
  <c r="S114" i="21"/>
  <c r="S116" i="21"/>
  <c r="S103" i="21"/>
  <c r="S90" i="21"/>
  <c r="S92" i="21"/>
  <c r="S95" i="21"/>
  <c r="S73" i="21"/>
  <c r="S71" i="21"/>
  <c r="S34" i="21"/>
  <c r="S37" i="21"/>
  <c r="S44" i="21"/>
  <c r="S54" i="21"/>
  <c r="S53" i="21" s="1"/>
  <c r="S50" i="21"/>
  <c r="S49" i="21" s="1"/>
  <c r="D44" i="25"/>
  <c r="C3" i="15"/>
  <c r="Q10" i="17"/>
  <c r="O10" i="17"/>
  <c r="O11" i="17"/>
  <c r="S89" i="21" l="1"/>
  <c r="S70" i="21"/>
  <c r="S33" i="21"/>
  <c r="F35" i="30"/>
  <c r="C35" i="30"/>
  <c r="C31" i="30"/>
  <c r="F29" i="30"/>
  <c r="S82" i="21" l="1"/>
  <c r="S143" i="21"/>
  <c r="H45" i="25"/>
  <c r="H44" i="25"/>
  <c r="H34" i="25"/>
  <c r="H36" i="25" s="1"/>
  <c r="C3" i="24"/>
  <c r="C2" i="24"/>
  <c r="B11" i="24"/>
  <c r="C11" i="24"/>
  <c r="B12" i="24"/>
  <c r="C12" i="24"/>
  <c r="B13" i="24"/>
  <c r="C13" i="24"/>
  <c r="B14" i="24"/>
  <c r="C14" i="24"/>
  <c r="B15" i="24"/>
  <c r="C15" i="24"/>
  <c r="B16" i="24"/>
  <c r="C16" i="24"/>
  <c r="B17" i="24"/>
  <c r="C17" i="24"/>
  <c r="B18" i="24"/>
  <c r="C18" i="24"/>
  <c r="B19" i="24"/>
  <c r="C19" i="24"/>
  <c r="B20" i="24"/>
  <c r="C20" i="24"/>
  <c r="B21" i="24"/>
  <c r="C21" i="24"/>
  <c r="B22" i="24"/>
  <c r="C22" i="24"/>
  <c r="B23" i="24"/>
  <c r="C23" i="24"/>
  <c r="B24" i="24"/>
  <c r="C24" i="24"/>
  <c r="B25" i="24"/>
  <c r="C25" i="24"/>
  <c r="B26" i="24"/>
  <c r="C26" i="24"/>
  <c r="B27" i="24"/>
  <c r="C27" i="24"/>
  <c r="B28" i="24"/>
  <c r="C28" i="24"/>
  <c r="B29" i="24"/>
  <c r="C29" i="24"/>
  <c r="B30" i="24"/>
  <c r="C30" i="24"/>
  <c r="B31" i="24"/>
  <c r="C31" i="24"/>
  <c r="B32" i="24"/>
  <c r="C32" i="24"/>
  <c r="B33" i="24"/>
  <c r="C33" i="24"/>
  <c r="B34" i="24"/>
  <c r="C34" i="24"/>
  <c r="B35" i="24"/>
  <c r="C35" i="24"/>
  <c r="B36" i="24"/>
  <c r="C36" i="24"/>
  <c r="B37" i="24"/>
  <c r="C37" i="24"/>
  <c r="B38" i="24"/>
  <c r="C38" i="24"/>
  <c r="B39" i="24"/>
  <c r="C39" i="24"/>
  <c r="B40" i="24"/>
  <c r="C40" i="24"/>
  <c r="B41" i="24"/>
  <c r="C41" i="24"/>
  <c r="B42" i="24"/>
  <c r="C42" i="24"/>
  <c r="B43" i="24"/>
  <c r="C43" i="24"/>
  <c r="B44" i="24"/>
  <c r="C44" i="24"/>
  <c r="B45" i="24"/>
  <c r="C45" i="24"/>
  <c r="B46" i="24"/>
  <c r="C46" i="24"/>
  <c r="B47" i="24"/>
  <c r="C47" i="24"/>
  <c r="B48" i="24"/>
  <c r="C48" i="24"/>
  <c r="B49" i="24"/>
  <c r="C49" i="24"/>
  <c r="B50" i="24"/>
  <c r="C50" i="24"/>
  <c r="B51" i="24"/>
  <c r="C51" i="24"/>
  <c r="B52" i="24"/>
  <c r="C52" i="24"/>
  <c r="B53" i="24"/>
  <c r="C53" i="24"/>
  <c r="B54" i="24"/>
  <c r="C54" i="24"/>
  <c r="B55" i="24"/>
  <c r="C55" i="24"/>
  <c r="B56" i="24"/>
  <c r="C56" i="24"/>
  <c r="B57" i="24"/>
  <c r="C57" i="24"/>
  <c r="B58" i="24"/>
  <c r="C58" i="24"/>
  <c r="C10" i="24"/>
  <c r="B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10" i="24"/>
  <c r="E10" i="24"/>
  <c r="H46" i="25" l="1"/>
  <c r="N20" i="21"/>
  <c r="D9" i="25" l="1"/>
  <c r="C3" i="25" l="1"/>
  <c r="C2" i="25"/>
  <c r="C2" i="19"/>
  <c r="C3" i="19"/>
  <c r="E38" i="12"/>
  <c r="C3" i="17"/>
  <c r="C2" i="17"/>
  <c r="C2" i="15"/>
  <c r="H10" i="24"/>
  <c r="H11" i="24" l="1"/>
  <c r="H12" i="24"/>
  <c r="H13" i="24"/>
  <c r="H14" i="24"/>
  <c r="H15" i="24"/>
  <c r="H16" i="24"/>
  <c r="H17" i="24"/>
  <c r="H18" i="24"/>
  <c r="H19" i="24"/>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45" i="24"/>
  <c r="H46" i="24"/>
  <c r="H47" i="24"/>
  <c r="H48" i="24"/>
  <c r="H49" i="24"/>
  <c r="H50" i="24"/>
  <c r="H51" i="24"/>
  <c r="H52" i="24"/>
  <c r="H53" i="24"/>
  <c r="H54" i="24"/>
  <c r="H55" i="24"/>
  <c r="H56" i="24"/>
  <c r="H57" i="24"/>
  <c r="H58" i="24"/>
  <c r="S167" i="21" l="1"/>
  <c r="S164" i="21"/>
  <c r="S159" i="21"/>
  <c r="S158" i="21" s="1"/>
  <c r="N148" i="21"/>
  <c r="S151" i="21"/>
  <c r="S148" i="21"/>
  <c r="S77" i="21"/>
  <c r="S76" i="21" s="1"/>
  <c r="S79" i="21"/>
  <c r="S67" i="21"/>
  <c r="S65" i="21"/>
  <c r="S59" i="21"/>
  <c r="S61" i="21"/>
  <c r="N116" i="21"/>
  <c r="N119" i="21"/>
  <c r="N114" i="21"/>
  <c r="N108" i="21"/>
  <c r="S108" i="21"/>
  <c r="N106" i="21"/>
  <c r="N23" i="21"/>
  <c r="N3" i="21"/>
  <c r="S131" i="21"/>
  <c r="S135" i="21"/>
  <c r="S127" i="21"/>
  <c r="S130" i="21"/>
  <c r="S124" i="21"/>
  <c r="S106" i="21"/>
  <c r="S110" i="21"/>
  <c r="S25" i="21"/>
  <c r="S7" i="21"/>
  <c r="S58" i="21" l="1"/>
  <c r="S105" i="21"/>
  <c r="S163" i="21"/>
  <c r="S147" i="21"/>
  <c r="S64" i="21"/>
  <c r="S140" i="21"/>
  <c r="S123" i="21"/>
  <c r="C13" i="17"/>
  <c r="S28" i="21"/>
  <c r="S32" i="21" l="1"/>
  <c r="E138" i="21"/>
  <c r="L138" i="21" s="1"/>
  <c r="S137" i="21" s="1"/>
  <c r="S134" i="21" s="1"/>
  <c r="S121" i="21" s="1"/>
  <c r="D46" i="25"/>
  <c r="F14" i="17"/>
  <c r="J11" i="15"/>
  <c r="K11" i="15"/>
  <c r="J12" i="15"/>
  <c r="K12" i="15"/>
  <c r="J13" i="15"/>
  <c r="K13" i="15"/>
  <c r="J14" i="15"/>
  <c r="K14" i="15"/>
  <c r="J15" i="15"/>
  <c r="K15" i="15"/>
  <c r="J16" i="15"/>
  <c r="K16" i="15"/>
  <c r="J17" i="15"/>
  <c r="K17" i="15"/>
  <c r="J18" i="15"/>
  <c r="K18" i="15"/>
  <c r="J19" i="15"/>
  <c r="K19" i="15"/>
  <c r="J20" i="15"/>
  <c r="K20" i="15"/>
  <c r="J21" i="15"/>
  <c r="K21" i="15"/>
  <c r="J22" i="15"/>
  <c r="K22" i="15"/>
  <c r="J23" i="15"/>
  <c r="K23" i="15"/>
  <c r="J24" i="15"/>
  <c r="K24" i="15"/>
  <c r="J25" i="15"/>
  <c r="K25" i="15"/>
  <c r="J26" i="15"/>
  <c r="K26" i="15"/>
  <c r="J27" i="15"/>
  <c r="K27" i="15"/>
  <c r="J28" i="15"/>
  <c r="K28" i="15"/>
  <c r="J29" i="15"/>
  <c r="K29" i="15"/>
  <c r="J30" i="15"/>
  <c r="K30" i="15"/>
  <c r="J31" i="15"/>
  <c r="K31" i="15"/>
  <c r="J32" i="15"/>
  <c r="K32" i="15"/>
  <c r="J33" i="15"/>
  <c r="K33" i="15"/>
  <c r="J34" i="15"/>
  <c r="K34" i="15"/>
  <c r="J35" i="15"/>
  <c r="K35" i="15"/>
  <c r="J36" i="15"/>
  <c r="K36" i="15"/>
  <c r="J37" i="15"/>
  <c r="K37" i="15"/>
  <c r="J38" i="15"/>
  <c r="K38" i="15"/>
  <c r="J39" i="15"/>
  <c r="K39" i="15"/>
  <c r="J40" i="15"/>
  <c r="K40" i="15"/>
  <c r="J41" i="15"/>
  <c r="K41" i="15"/>
  <c r="J42" i="15"/>
  <c r="K42" i="15"/>
  <c r="J43" i="15"/>
  <c r="K43" i="15"/>
  <c r="J44" i="15"/>
  <c r="K44" i="15"/>
  <c r="J45" i="15"/>
  <c r="K45" i="15"/>
  <c r="J46" i="15"/>
  <c r="K46" i="15"/>
  <c r="J47" i="15"/>
  <c r="K47" i="15"/>
  <c r="J48" i="15"/>
  <c r="K48" i="15"/>
  <c r="J49" i="15"/>
  <c r="K49" i="15"/>
  <c r="J50" i="15"/>
  <c r="K50" i="15"/>
  <c r="J51" i="15"/>
  <c r="K51" i="15"/>
  <c r="J52" i="15"/>
  <c r="K52" i="15"/>
  <c r="J53" i="15"/>
  <c r="K53" i="15"/>
  <c r="J54" i="15"/>
  <c r="K54" i="15"/>
  <c r="J55" i="15"/>
  <c r="K55" i="15"/>
  <c r="J56" i="15"/>
  <c r="K56" i="15"/>
  <c r="J57" i="15"/>
  <c r="K57" i="15"/>
  <c r="J58" i="15"/>
  <c r="K58" i="15"/>
  <c r="G30" i="25" l="1"/>
  <c r="G22" i="25"/>
  <c r="H30" i="25"/>
  <c r="H29" i="25"/>
  <c r="G29" i="25"/>
  <c r="H22" i="25"/>
  <c r="D30" i="25"/>
  <c r="C30" i="25"/>
  <c r="C29" i="25"/>
  <c r="D29" i="25"/>
  <c r="D22" i="25"/>
  <c r="C22" i="25"/>
  <c r="D40" i="25" s="1"/>
  <c r="H42" i="25" l="1"/>
  <c r="H40" i="25"/>
  <c r="D32" i="25"/>
  <c r="D31" i="25"/>
  <c r="H32" i="25"/>
  <c r="H31" i="25"/>
  <c r="D42" i="25"/>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D34" i="25" l="1"/>
  <c r="K10" i="15"/>
  <c r="J10" i="15"/>
  <c r="L11" i="17"/>
  <c r="M11" i="17"/>
  <c r="N11" i="17"/>
  <c r="L12" i="17"/>
  <c r="M12" i="17"/>
  <c r="N12" i="17"/>
  <c r="O12" i="17"/>
  <c r="L13" i="17"/>
  <c r="M13" i="17"/>
  <c r="N13" i="17"/>
  <c r="O13" i="17"/>
  <c r="L14" i="17"/>
  <c r="M14" i="17"/>
  <c r="N14" i="17"/>
  <c r="O14" i="17"/>
  <c r="L15" i="17"/>
  <c r="M15" i="17"/>
  <c r="N15" i="17"/>
  <c r="O15" i="17"/>
  <c r="L16" i="17"/>
  <c r="M16" i="17"/>
  <c r="N16" i="17"/>
  <c r="O16" i="17"/>
  <c r="L17" i="17"/>
  <c r="M17" i="17"/>
  <c r="N17" i="17"/>
  <c r="O17" i="17"/>
  <c r="L18" i="17"/>
  <c r="M18" i="17"/>
  <c r="N18" i="17"/>
  <c r="O18" i="17"/>
  <c r="L19" i="17"/>
  <c r="M19" i="17"/>
  <c r="N19" i="17"/>
  <c r="O19" i="17"/>
  <c r="L20" i="17"/>
  <c r="M20" i="17"/>
  <c r="N20" i="17"/>
  <c r="O20" i="17"/>
  <c r="L21" i="17"/>
  <c r="M21" i="17"/>
  <c r="N21" i="17"/>
  <c r="O21" i="17"/>
  <c r="L22" i="17"/>
  <c r="M22" i="17"/>
  <c r="N22" i="17"/>
  <c r="O22" i="17"/>
  <c r="L23" i="17"/>
  <c r="M23" i="17"/>
  <c r="N23" i="17"/>
  <c r="O23" i="17"/>
  <c r="L24" i="17"/>
  <c r="M24" i="17"/>
  <c r="N24" i="17"/>
  <c r="O24" i="17"/>
  <c r="L25" i="17"/>
  <c r="M25" i="17"/>
  <c r="N25" i="17"/>
  <c r="O25" i="17"/>
  <c r="L26" i="17"/>
  <c r="M26" i="17"/>
  <c r="N26" i="17"/>
  <c r="O26" i="17"/>
  <c r="L27" i="17"/>
  <c r="M27" i="17"/>
  <c r="N27" i="17"/>
  <c r="O27" i="17"/>
  <c r="L28" i="17"/>
  <c r="M28" i="17"/>
  <c r="N28" i="17"/>
  <c r="O28" i="17"/>
  <c r="L29" i="17"/>
  <c r="M29" i="17"/>
  <c r="N29" i="17"/>
  <c r="O29" i="17"/>
  <c r="L30" i="17"/>
  <c r="M30" i="17"/>
  <c r="N30" i="17"/>
  <c r="O30" i="17"/>
  <c r="L31" i="17"/>
  <c r="M31" i="17"/>
  <c r="N31" i="17"/>
  <c r="O31" i="17"/>
  <c r="L32" i="17"/>
  <c r="M32" i="17"/>
  <c r="N32" i="17"/>
  <c r="O32" i="17"/>
  <c r="L33" i="17"/>
  <c r="M33" i="17"/>
  <c r="N33" i="17"/>
  <c r="O33" i="17"/>
  <c r="L34" i="17"/>
  <c r="M34" i="17"/>
  <c r="N34" i="17"/>
  <c r="O34" i="17"/>
  <c r="L35" i="17"/>
  <c r="M35" i="17"/>
  <c r="N35" i="17"/>
  <c r="O35" i="17"/>
  <c r="L36" i="17"/>
  <c r="M36" i="17"/>
  <c r="N36" i="17"/>
  <c r="O36" i="17"/>
  <c r="L37" i="17"/>
  <c r="M37" i="17"/>
  <c r="N37" i="17"/>
  <c r="O37" i="17"/>
  <c r="L38" i="17"/>
  <c r="M38" i="17"/>
  <c r="N38" i="17"/>
  <c r="O38" i="17"/>
  <c r="L39" i="17"/>
  <c r="M39" i="17"/>
  <c r="N39" i="17"/>
  <c r="O39" i="17"/>
  <c r="L40" i="17"/>
  <c r="M40" i="17"/>
  <c r="N40" i="17"/>
  <c r="O40" i="17"/>
  <c r="L41" i="17"/>
  <c r="M41" i="17"/>
  <c r="N41" i="17"/>
  <c r="O41" i="17"/>
  <c r="L42" i="17"/>
  <c r="M42" i="17"/>
  <c r="N42" i="17"/>
  <c r="O42" i="17"/>
  <c r="L43" i="17"/>
  <c r="M43" i="17"/>
  <c r="N43" i="17"/>
  <c r="O43" i="17"/>
  <c r="L44" i="17"/>
  <c r="M44" i="17"/>
  <c r="N44" i="17"/>
  <c r="O44" i="17"/>
  <c r="L45" i="17"/>
  <c r="M45" i="17"/>
  <c r="N45" i="17"/>
  <c r="O45" i="17"/>
  <c r="L46" i="17"/>
  <c r="M46" i="17"/>
  <c r="N46" i="17"/>
  <c r="O46" i="17"/>
  <c r="L47" i="17"/>
  <c r="M47" i="17"/>
  <c r="N47" i="17"/>
  <c r="O47" i="17"/>
  <c r="L48" i="17"/>
  <c r="M48" i="17"/>
  <c r="N48" i="17"/>
  <c r="O48" i="17"/>
  <c r="L49" i="17"/>
  <c r="M49" i="17"/>
  <c r="N49" i="17"/>
  <c r="O49" i="17"/>
  <c r="L50" i="17"/>
  <c r="M50" i="17"/>
  <c r="N50" i="17"/>
  <c r="O50" i="17"/>
  <c r="L51" i="17"/>
  <c r="M51" i="17"/>
  <c r="N51" i="17"/>
  <c r="O51" i="17"/>
  <c r="L52" i="17"/>
  <c r="M52" i="17"/>
  <c r="N52" i="17"/>
  <c r="O52" i="17"/>
  <c r="L53" i="17"/>
  <c r="M53" i="17"/>
  <c r="N53" i="17"/>
  <c r="O53" i="17"/>
  <c r="L54" i="17"/>
  <c r="M54" i="17"/>
  <c r="N54" i="17"/>
  <c r="O54" i="17"/>
  <c r="L55" i="17"/>
  <c r="M55" i="17"/>
  <c r="N55" i="17"/>
  <c r="O55" i="17"/>
  <c r="L56" i="17"/>
  <c r="M56" i="17"/>
  <c r="N56" i="17"/>
  <c r="O56" i="17"/>
  <c r="L57" i="17"/>
  <c r="M57" i="17"/>
  <c r="N57" i="17"/>
  <c r="O57" i="17"/>
  <c r="L58" i="17"/>
  <c r="M58" i="17"/>
  <c r="N58" i="17"/>
  <c r="O58" i="17"/>
  <c r="N10" i="17"/>
  <c r="M10" i="17"/>
  <c r="L10" i="17"/>
  <c r="I50" i="15"/>
  <c r="L50" i="15" s="1"/>
  <c r="I11" i="15"/>
  <c r="L11" i="15" s="1"/>
  <c r="I12" i="15"/>
  <c r="I13" i="15"/>
  <c r="L13" i="15" s="1"/>
  <c r="I14" i="15"/>
  <c r="L14" i="15" s="1"/>
  <c r="I15" i="15"/>
  <c r="L15" i="15" s="1"/>
  <c r="I16" i="15"/>
  <c r="L16" i="15" s="1"/>
  <c r="I17" i="15"/>
  <c r="L17" i="15" s="1"/>
  <c r="I18" i="15"/>
  <c r="L18" i="15" s="1"/>
  <c r="I19" i="15"/>
  <c r="L19" i="15" s="1"/>
  <c r="I20" i="15"/>
  <c r="I21" i="15"/>
  <c r="L21" i="15" s="1"/>
  <c r="I22" i="15"/>
  <c r="L22" i="15" s="1"/>
  <c r="I23" i="15"/>
  <c r="L23" i="15" s="1"/>
  <c r="I24" i="15"/>
  <c r="L24" i="15" s="1"/>
  <c r="I25" i="15"/>
  <c r="L25" i="15" s="1"/>
  <c r="I26" i="15"/>
  <c r="L26" i="15" s="1"/>
  <c r="I27" i="15"/>
  <c r="L27" i="15" s="1"/>
  <c r="I28" i="15"/>
  <c r="I29" i="15"/>
  <c r="L29" i="15" s="1"/>
  <c r="I30" i="15"/>
  <c r="L30" i="15" s="1"/>
  <c r="I31" i="15"/>
  <c r="L31" i="15" s="1"/>
  <c r="I32" i="15"/>
  <c r="L32" i="15" s="1"/>
  <c r="I33" i="15"/>
  <c r="L33" i="15" s="1"/>
  <c r="I34" i="15"/>
  <c r="L34" i="15" s="1"/>
  <c r="I35" i="15"/>
  <c r="L35" i="15" s="1"/>
  <c r="I36" i="15"/>
  <c r="I37" i="15"/>
  <c r="L37" i="15" s="1"/>
  <c r="I38" i="15"/>
  <c r="L38" i="15" s="1"/>
  <c r="I39" i="15"/>
  <c r="L39" i="15" s="1"/>
  <c r="I40" i="15"/>
  <c r="L40" i="15" s="1"/>
  <c r="I41" i="15"/>
  <c r="L41" i="15" s="1"/>
  <c r="I42" i="15"/>
  <c r="L42" i="15" s="1"/>
  <c r="I43" i="15"/>
  <c r="L43" i="15" s="1"/>
  <c r="I44" i="15"/>
  <c r="I45" i="15"/>
  <c r="L45" i="15" s="1"/>
  <c r="I46" i="15"/>
  <c r="L46" i="15" s="1"/>
  <c r="I47" i="15"/>
  <c r="L47" i="15" s="1"/>
  <c r="I48" i="15"/>
  <c r="L48" i="15" s="1"/>
  <c r="I49" i="15"/>
  <c r="L49" i="15" s="1"/>
  <c r="I51" i="15"/>
  <c r="L51" i="15" s="1"/>
  <c r="I52" i="15"/>
  <c r="L52" i="15" s="1"/>
  <c r="I53" i="15"/>
  <c r="L53" i="15" s="1"/>
  <c r="I54" i="15"/>
  <c r="L54" i="15" s="1"/>
  <c r="I55" i="15"/>
  <c r="L55" i="15" s="1"/>
  <c r="I56" i="15"/>
  <c r="L56" i="15" s="1"/>
  <c r="I57" i="15"/>
  <c r="L57" i="15" s="1"/>
  <c r="I58" i="15"/>
  <c r="L58" i="15" s="1"/>
  <c r="I10" i="15"/>
  <c r="E120" i="21" l="1"/>
  <c r="L120" i="21" s="1"/>
  <c r="S118" i="21" s="1"/>
  <c r="S112" i="21" s="1"/>
  <c r="D36" i="25"/>
  <c r="G44" i="19"/>
  <c r="L44" i="15"/>
  <c r="G36" i="19"/>
  <c r="L36" i="15"/>
  <c r="G28" i="19"/>
  <c r="L28" i="15"/>
  <c r="G20" i="19"/>
  <c r="L20" i="15"/>
  <c r="G12" i="19"/>
  <c r="L12" i="15"/>
  <c r="G57" i="19"/>
  <c r="G49" i="19"/>
  <c r="G41" i="19"/>
  <c r="G33" i="19"/>
  <c r="G25" i="19"/>
  <c r="G17" i="19"/>
  <c r="G56" i="19"/>
  <c r="G48" i="19"/>
  <c r="G40" i="19"/>
  <c r="G32" i="19"/>
  <c r="G24" i="19"/>
  <c r="G16" i="19"/>
  <c r="G55" i="19"/>
  <c r="G47" i="19"/>
  <c r="G39" i="19"/>
  <c r="G31" i="19"/>
  <c r="G23" i="19"/>
  <c r="G15" i="19"/>
  <c r="G54" i="19"/>
  <c r="G46" i="19"/>
  <c r="G38" i="19"/>
  <c r="G30" i="19"/>
  <c r="G22" i="19"/>
  <c r="G14" i="19"/>
  <c r="G53" i="19"/>
  <c r="G45" i="19"/>
  <c r="G37" i="19"/>
  <c r="G29" i="19"/>
  <c r="G21" i="19"/>
  <c r="G13" i="19"/>
  <c r="L10" i="15"/>
  <c r="G52" i="19"/>
  <c r="G51" i="19"/>
  <c r="G43" i="19"/>
  <c r="G35" i="19"/>
  <c r="G27" i="19"/>
  <c r="G19" i="19"/>
  <c r="G11" i="19"/>
  <c r="G58" i="19"/>
  <c r="G50" i="19"/>
  <c r="G42" i="19"/>
  <c r="G34" i="19"/>
  <c r="G26" i="19"/>
  <c r="G18" i="19"/>
  <c r="G10" i="19"/>
  <c r="H10" i="19" l="1"/>
  <c r="G59" i="19"/>
  <c r="E16" i="21" l="1"/>
  <c r="L16" i="21" s="1"/>
  <c r="G61" i="19"/>
  <c r="B10" i="17"/>
  <c r="C10" i="17"/>
  <c r="D10" i="17"/>
  <c r="F10" i="17"/>
  <c r="B11" i="17"/>
  <c r="C11" i="17"/>
  <c r="D11" i="17"/>
  <c r="F11" i="17"/>
  <c r="B12" i="17"/>
  <c r="C12" i="17"/>
  <c r="D12" i="17"/>
  <c r="F12" i="17"/>
  <c r="B13" i="17"/>
  <c r="D13" i="17"/>
  <c r="F13" i="17"/>
  <c r="B14" i="17"/>
  <c r="C14" i="17"/>
  <c r="D14" i="17"/>
  <c r="B15" i="17"/>
  <c r="C15" i="17"/>
  <c r="D15" i="17"/>
  <c r="F15" i="17"/>
  <c r="B16" i="17"/>
  <c r="C16" i="17"/>
  <c r="D16" i="17"/>
  <c r="F16" i="17"/>
  <c r="D10" i="15"/>
  <c r="F10" i="15" s="1"/>
  <c r="D13" i="15"/>
  <c r="F13" i="15" s="1"/>
  <c r="M10" i="15" l="1"/>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C17" i="17"/>
  <c r="D17" i="17"/>
  <c r="C18" i="17"/>
  <c r="D18" i="17"/>
  <c r="C19" i="17"/>
  <c r="D19" i="17"/>
  <c r="C20" i="17"/>
  <c r="D20" i="17"/>
  <c r="C21" i="17"/>
  <c r="D21" i="17"/>
  <c r="C22" i="17"/>
  <c r="D22" i="17"/>
  <c r="C23" i="17"/>
  <c r="D23" i="17"/>
  <c r="C24" i="17"/>
  <c r="D24" i="17"/>
  <c r="C25" i="17"/>
  <c r="D25" i="17"/>
  <c r="C26" i="17"/>
  <c r="D26" i="17"/>
  <c r="C27" i="17"/>
  <c r="D27" i="17"/>
  <c r="C28" i="17"/>
  <c r="D28" i="17"/>
  <c r="C29" i="17"/>
  <c r="D29" i="17"/>
  <c r="C30" i="17"/>
  <c r="D30" i="17"/>
  <c r="C31" i="17"/>
  <c r="D31" i="17"/>
  <c r="C32" i="17"/>
  <c r="D32" i="17"/>
  <c r="C33" i="17"/>
  <c r="D33" i="17"/>
  <c r="C34" i="17"/>
  <c r="D34" i="17"/>
  <c r="C35" i="17"/>
  <c r="D35" i="17"/>
  <c r="C36" i="17"/>
  <c r="D36" i="17"/>
  <c r="C37" i="17"/>
  <c r="D37" i="17"/>
  <c r="C38" i="17"/>
  <c r="D38" i="17"/>
  <c r="C39" i="17"/>
  <c r="D39" i="17"/>
  <c r="C40" i="17"/>
  <c r="D40" i="17"/>
  <c r="C41" i="17"/>
  <c r="D41" i="17"/>
  <c r="C42" i="17"/>
  <c r="D42" i="17"/>
  <c r="C43" i="17"/>
  <c r="D43" i="17"/>
  <c r="C44" i="17"/>
  <c r="D44" i="17"/>
  <c r="C45" i="17"/>
  <c r="D45" i="17"/>
  <c r="C46" i="17"/>
  <c r="D46" i="17"/>
  <c r="C47" i="17"/>
  <c r="D47" i="17"/>
  <c r="C48" i="17"/>
  <c r="D48" i="17"/>
  <c r="C49" i="17"/>
  <c r="D49" i="17"/>
  <c r="C50" i="17"/>
  <c r="D50" i="17"/>
  <c r="C51" i="17"/>
  <c r="D51" i="17"/>
  <c r="C52" i="17"/>
  <c r="D52" i="17"/>
  <c r="C53" i="17"/>
  <c r="D53" i="17"/>
  <c r="C54" i="17"/>
  <c r="D54" i="17"/>
  <c r="C55" i="17"/>
  <c r="D55" i="17"/>
  <c r="C56" i="17"/>
  <c r="D56" i="17"/>
  <c r="C57" i="17"/>
  <c r="D57" i="17"/>
  <c r="C58" i="17"/>
  <c r="D58"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D11" i="15"/>
  <c r="F11" i="15" s="1"/>
  <c r="D12" i="15"/>
  <c r="F12" i="15" s="1"/>
  <c r="D14" i="15"/>
  <c r="F14" i="15" s="1"/>
  <c r="D15" i="15"/>
  <c r="F15" i="15" s="1"/>
  <c r="D16" i="15"/>
  <c r="F16" i="15" s="1"/>
  <c r="D17" i="15"/>
  <c r="F17" i="15" s="1"/>
  <c r="D18" i="15"/>
  <c r="F18" i="15" s="1"/>
  <c r="D19" i="15"/>
  <c r="F19" i="15" s="1"/>
  <c r="D20" i="15"/>
  <c r="F20" i="15" s="1"/>
  <c r="D21" i="15"/>
  <c r="F21" i="15" s="1"/>
  <c r="D22" i="15"/>
  <c r="F22" i="15" s="1"/>
  <c r="D23" i="15"/>
  <c r="F23" i="15" s="1"/>
  <c r="D24" i="15"/>
  <c r="F24" i="15" s="1"/>
  <c r="D25" i="15"/>
  <c r="F25" i="15" s="1"/>
  <c r="D26" i="15"/>
  <c r="F26" i="15" s="1"/>
  <c r="D27" i="15"/>
  <c r="F27" i="15" s="1"/>
  <c r="D28" i="15"/>
  <c r="F28" i="15" s="1"/>
  <c r="D29" i="15"/>
  <c r="F29" i="15" s="1"/>
  <c r="D30" i="15"/>
  <c r="F30" i="15" s="1"/>
  <c r="D31" i="15"/>
  <c r="F31" i="15" s="1"/>
  <c r="D32" i="15"/>
  <c r="F32" i="15" s="1"/>
  <c r="D33" i="15"/>
  <c r="F33" i="15" s="1"/>
  <c r="D34" i="15"/>
  <c r="F34" i="15" s="1"/>
  <c r="D35" i="15"/>
  <c r="F35" i="15" s="1"/>
  <c r="D36" i="15"/>
  <c r="F36" i="15" s="1"/>
  <c r="D37" i="15"/>
  <c r="F37" i="15" s="1"/>
  <c r="D38" i="15"/>
  <c r="F38" i="15" s="1"/>
  <c r="D39" i="15"/>
  <c r="F39" i="15" s="1"/>
  <c r="D40" i="15"/>
  <c r="F40" i="15" s="1"/>
  <c r="D41" i="15"/>
  <c r="F41" i="15" s="1"/>
  <c r="D42" i="15"/>
  <c r="F42" i="15" s="1"/>
  <c r="D43" i="15"/>
  <c r="F43" i="15" s="1"/>
  <c r="D44" i="15"/>
  <c r="F44" i="15" s="1"/>
  <c r="D45" i="15"/>
  <c r="F45" i="15" s="1"/>
  <c r="D46" i="15"/>
  <c r="F46" i="15" s="1"/>
  <c r="D47" i="15"/>
  <c r="F47" i="15" s="1"/>
  <c r="D48" i="15"/>
  <c r="F48" i="15" s="1"/>
  <c r="D49" i="15"/>
  <c r="F49" i="15" s="1"/>
  <c r="D50" i="15"/>
  <c r="F50" i="15" s="1"/>
  <c r="D51" i="15"/>
  <c r="F51" i="15" s="1"/>
  <c r="D52" i="15"/>
  <c r="F52" i="15" s="1"/>
  <c r="D53" i="15"/>
  <c r="F53" i="15" s="1"/>
  <c r="D54" i="15"/>
  <c r="F54" i="15" s="1"/>
  <c r="D55" i="15"/>
  <c r="F55" i="15" s="1"/>
  <c r="D56" i="15"/>
  <c r="F56" i="15" s="1"/>
  <c r="D57" i="15"/>
  <c r="F57" i="15" s="1"/>
  <c r="D58" i="15"/>
  <c r="F58" i="15" s="1"/>
  <c r="B11" i="19" l="1"/>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10" i="19"/>
  <c r="C58" i="19" l="1"/>
  <c r="D58" i="19"/>
  <c r="D49" i="19"/>
  <c r="C49" i="19"/>
  <c r="D41" i="19"/>
  <c r="C41" i="19"/>
  <c r="D33" i="19"/>
  <c r="C33" i="19"/>
  <c r="D25" i="19"/>
  <c r="C25" i="19"/>
  <c r="D17" i="19"/>
  <c r="C17" i="19"/>
  <c r="C26" i="19"/>
  <c r="D26" i="19"/>
  <c r="D40" i="19"/>
  <c r="C40" i="19"/>
  <c r="D47" i="19"/>
  <c r="C47" i="19"/>
  <c r="D39" i="19"/>
  <c r="C39" i="19"/>
  <c r="D31" i="19"/>
  <c r="C31" i="19"/>
  <c r="D23" i="19"/>
  <c r="C23" i="19"/>
  <c r="D15" i="19"/>
  <c r="C15" i="19"/>
  <c r="C42" i="19"/>
  <c r="D42" i="19"/>
  <c r="D48" i="19"/>
  <c r="C48" i="19"/>
  <c r="D16" i="19"/>
  <c r="C16" i="19"/>
  <c r="D54" i="19"/>
  <c r="C54" i="19"/>
  <c r="D46" i="19"/>
  <c r="C46" i="19"/>
  <c r="D38" i="19"/>
  <c r="C38" i="19"/>
  <c r="D30" i="19"/>
  <c r="C30" i="19"/>
  <c r="D22" i="19"/>
  <c r="C22" i="19"/>
  <c r="D14" i="19"/>
  <c r="C14" i="19"/>
  <c r="C34" i="19"/>
  <c r="D34" i="19"/>
  <c r="D32" i="19"/>
  <c r="C32" i="19"/>
  <c r="C45" i="19"/>
  <c r="D45" i="19"/>
  <c r="C37" i="19"/>
  <c r="D37" i="19"/>
  <c r="C29" i="19"/>
  <c r="D29" i="19"/>
  <c r="D21" i="19"/>
  <c r="H13" i="19"/>
  <c r="D13" i="19"/>
  <c r="D50" i="19"/>
  <c r="C50" i="19"/>
  <c r="D57" i="19"/>
  <c r="C57" i="19"/>
  <c r="D24" i="19"/>
  <c r="C24" i="19"/>
  <c r="C53" i="19"/>
  <c r="D53" i="19"/>
  <c r="D44" i="19"/>
  <c r="C44" i="19"/>
  <c r="C36" i="19"/>
  <c r="D36" i="19"/>
  <c r="C28" i="19"/>
  <c r="D28" i="19"/>
  <c r="D20" i="19"/>
  <c r="D12" i="19"/>
  <c r="D18" i="19"/>
  <c r="C18" i="19"/>
  <c r="D56" i="19"/>
  <c r="C56" i="19"/>
  <c r="D55" i="19"/>
  <c r="C55" i="19"/>
  <c r="D52" i="19"/>
  <c r="C52" i="19"/>
  <c r="D51" i="19"/>
  <c r="C51" i="19"/>
  <c r="D43" i="19"/>
  <c r="C43" i="19"/>
  <c r="D35" i="19"/>
  <c r="C35" i="19"/>
  <c r="D27" i="19"/>
  <c r="C27" i="19"/>
  <c r="D19" i="19"/>
  <c r="C19" i="19"/>
  <c r="D11" i="19"/>
  <c r="F34" i="19"/>
  <c r="E34" i="19"/>
  <c r="H34" i="19"/>
  <c r="H57" i="19"/>
  <c r="E57" i="19"/>
  <c r="F57" i="19"/>
  <c r="H33" i="19"/>
  <c r="E33" i="19"/>
  <c r="F33" i="19"/>
  <c r="H56" i="19"/>
  <c r="E56" i="19"/>
  <c r="F56" i="19"/>
  <c r="H48" i="19"/>
  <c r="E48" i="19"/>
  <c r="F48" i="19"/>
  <c r="H40" i="19"/>
  <c r="E40" i="19"/>
  <c r="F40" i="19"/>
  <c r="H32" i="19"/>
  <c r="E32" i="19"/>
  <c r="F32" i="19"/>
  <c r="H24" i="19"/>
  <c r="E24" i="19"/>
  <c r="F24" i="19"/>
  <c r="H16" i="19"/>
  <c r="E16" i="19"/>
  <c r="F16" i="19"/>
  <c r="F42" i="19"/>
  <c r="E42" i="19"/>
  <c r="H42" i="19"/>
  <c r="H49" i="19"/>
  <c r="E49" i="19"/>
  <c r="F49" i="19"/>
  <c r="H25" i="19"/>
  <c r="E25" i="19"/>
  <c r="F25" i="19"/>
  <c r="E55" i="19"/>
  <c r="F55" i="19"/>
  <c r="H55" i="19"/>
  <c r="F47" i="19"/>
  <c r="E47" i="19"/>
  <c r="H47" i="19"/>
  <c r="H39" i="19"/>
  <c r="E39" i="19"/>
  <c r="F39" i="19"/>
  <c r="E31" i="19"/>
  <c r="F31" i="19"/>
  <c r="H31" i="19"/>
  <c r="F23" i="19"/>
  <c r="E23" i="19"/>
  <c r="H23" i="19"/>
  <c r="F15" i="19"/>
  <c r="E15" i="19"/>
  <c r="H15" i="19"/>
  <c r="F50" i="19"/>
  <c r="E50" i="19"/>
  <c r="H50" i="19"/>
  <c r="F18" i="19"/>
  <c r="E18" i="19"/>
  <c r="H18" i="19"/>
  <c r="H41" i="19"/>
  <c r="E41" i="19"/>
  <c r="F41" i="19"/>
  <c r="H17" i="19"/>
  <c r="E17" i="19"/>
  <c r="F17" i="19"/>
  <c r="H54" i="19"/>
  <c r="E54" i="19"/>
  <c r="F54" i="19"/>
  <c r="E46" i="19"/>
  <c r="H46" i="19"/>
  <c r="F46" i="19"/>
  <c r="H38" i="19"/>
  <c r="E38" i="19"/>
  <c r="F38" i="19"/>
  <c r="H30" i="19"/>
  <c r="E30" i="19"/>
  <c r="F30" i="19"/>
  <c r="H22" i="19"/>
  <c r="E22" i="19"/>
  <c r="F22" i="19"/>
  <c r="E14" i="19"/>
  <c r="H14" i="19"/>
  <c r="F14" i="19"/>
  <c r="E37" i="19"/>
  <c r="F37" i="19"/>
  <c r="H37" i="19"/>
  <c r="F58" i="19"/>
  <c r="E58" i="19"/>
  <c r="H58" i="19"/>
  <c r="F26" i="19"/>
  <c r="H26" i="19"/>
  <c r="E26" i="19"/>
  <c r="E53" i="19"/>
  <c r="F53" i="19"/>
  <c r="H53" i="19"/>
  <c r="E29" i="19"/>
  <c r="F29" i="19"/>
  <c r="H29" i="19"/>
  <c r="H52" i="19"/>
  <c r="F52" i="19"/>
  <c r="E52" i="19"/>
  <c r="H44" i="19"/>
  <c r="F44" i="19"/>
  <c r="E44" i="19"/>
  <c r="H36" i="19"/>
  <c r="F36" i="19"/>
  <c r="E36" i="19"/>
  <c r="H28" i="19"/>
  <c r="F28" i="19"/>
  <c r="E28" i="19"/>
  <c r="H20" i="19"/>
  <c r="H12" i="19"/>
  <c r="E45" i="19"/>
  <c r="F45" i="19"/>
  <c r="H45" i="19"/>
  <c r="H21" i="19"/>
  <c r="H51" i="19"/>
  <c r="F51" i="19"/>
  <c r="E51" i="19"/>
  <c r="H43" i="19"/>
  <c r="E43" i="19"/>
  <c r="F43" i="19"/>
  <c r="F35" i="19"/>
  <c r="H35" i="19"/>
  <c r="E35" i="19"/>
  <c r="H27" i="19"/>
  <c r="E27" i="19"/>
  <c r="F27" i="19"/>
  <c r="H19" i="19"/>
  <c r="E19" i="19"/>
  <c r="F19" i="19"/>
  <c r="H11" i="19"/>
  <c r="G10" i="17"/>
  <c r="C10" i="19" s="1"/>
  <c r="J10" i="19" s="1"/>
  <c r="M18" i="15"/>
  <c r="M11" i="15"/>
  <c r="M12" i="15"/>
  <c r="M13" i="15"/>
  <c r="M14" i="15"/>
  <c r="M15" i="15"/>
  <c r="M16" i="15"/>
  <c r="M17"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J22" i="19" l="1"/>
  <c r="I22" i="19"/>
  <c r="J54" i="19"/>
  <c r="I54" i="19"/>
  <c r="J15" i="19"/>
  <c r="I15" i="19"/>
  <c r="I47" i="19"/>
  <c r="J47" i="19"/>
  <c r="J25" i="19"/>
  <c r="I25" i="19"/>
  <c r="J35" i="19"/>
  <c r="I35" i="19"/>
  <c r="J55" i="19"/>
  <c r="I55" i="19"/>
  <c r="J53" i="19"/>
  <c r="I53" i="19"/>
  <c r="J45" i="19"/>
  <c r="I45" i="19"/>
  <c r="I58" i="19"/>
  <c r="J58" i="19"/>
  <c r="D10" i="19"/>
  <c r="I24" i="19"/>
  <c r="J24" i="19"/>
  <c r="I32" i="19"/>
  <c r="J32" i="19"/>
  <c r="J30" i="19"/>
  <c r="I30" i="19"/>
  <c r="J16" i="19"/>
  <c r="I16" i="19"/>
  <c r="J23" i="19"/>
  <c r="I23" i="19"/>
  <c r="J40" i="19"/>
  <c r="I40" i="19"/>
  <c r="J33" i="19"/>
  <c r="I33" i="19"/>
  <c r="J43" i="19"/>
  <c r="I43" i="19"/>
  <c r="J56" i="19"/>
  <c r="I56" i="19"/>
  <c r="J28" i="19"/>
  <c r="I28" i="19"/>
  <c r="J57" i="19"/>
  <c r="I57" i="19"/>
  <c r="J38" i="19"/>
  <c r="I38" i="19"/>
  <c r="J48" i="19"/>
  <c r="I48" i="19"/>
  <c r="I31" i="19"/>
  <c r="J31" i="19"/>
  <c r="J41" i="19"/>
  <c r="I41" i="19"/>
  <c r="J19" i="19"/>
  <c r="I19" i="19"/>
  <c r="J51" i="19"/>
  <c r="I51" i="19"/>
  <c r="J18" i="19"/>
  <c r="I18" i="19"/>
  <c r="J36" i="19"/>
  <c r="I36" i="19"/>
  <c r="J29" i="19"/>
  <c r="I29" i="19"/>
  <c r="J34" i="19"/>
  <c r="I34" i="19"/>
  <c r="J26" i="19"/>
  <c r="I26" i="19"/>
  <c r="J44" i="19"/>
  <c r="I44" i="19"/>
  <c r="J50" i="19"/>
  <c r="I50" i="19"/>
  <c r="J14" i="19"/>
  <c r="I14" i="19"/>
  <c r="J46" i="19"/>
  <c r="I46" i="19"/>
  <c r="J39" i="19"/>
  <c r="I39" i="19"/>
  <c r="J17" i="19"/>
  <c r="I17" i="19"/>
  <c r="J49" i="19"/>
  <c r="I49" i="19"/>
  <c r="J27" i="19"/>
  <c r="I27" i="19"/>
  <c r="J52" i="19"/>
  <c r="I52" i="19"/>
  <c r="J37" i="19"/>
  <c r="I37" i="19"/>
  <c r="J42" i="19"/>
  <c r="I42" i="19"/>
  <c r="M59" i="15"/>
  <c r="E10" i="19"/>
  <c r="G34" i="17"/>
  <c r="G57" i="17"/>
  <c r="G41" i="17"/>
  <c r="G33" i="17"/>
  <c r="G25" i="17"/>
  <c r="G16" i="17"/>
  <c r="G56" i="17"/>
  <c r="G48" i="17"/>
  <c r="G40" i="17"/>
  <c r="G32" i="17"/>
  <c r="G24" i="17"/>
  <c r="G15" i="17"/>
  <c r="G49" i="17"/>
  <c r="G55" i="17"/>
  <c r="G47" i="17"/>
  <c r="G39" i="17"/>
  <c r="G31" i="17"/>
  <c r="G23" i="17"/>
  <c r="G14" i="17"/>
  <c r="G58" i="17"/>
  <c r="G26" i="17"/>
  <c r="G46" i="17"/>
  <c r="G45" i="17"/>
  <c r="G50" i="17"/>
  <c r="G17" i="17"/>
  <c r="G30" i="17"/>
  <c r="G53" i="17"/>
  <c r="G37" i="17"/>
  <c r="G29" i="17"/>
  <c r="G21" i="17"/>
  <c r="G12" i="17"/>
  <c r="C12" i="19" s="1"/>
  <c r="G52" i="17"/>
  <c r="G44" i="17"/>
  <c r="G36" i="17"/>
  <c r="G28" i="17"/>
  <c r="G20" i="17"/>
  <c r="G11" i="17"/>
  <c r="C11" i="19" s="1"/>
  <c r="J11" i="19" s="1"/>
  <c r="G42" i="17"/>
  <c r="G54" i="17"/>
  <c r="G38" i="17"/>
  <c r="G22" i="17"/>
  <c r="G13" i="17"/>
  <c r="C13" i="19" s="1"/>
  <c r="G51" i="17"/>
  <c r="G43" i="17"/>
  <c r="G35" i="17"/>
  <c r="G27" i="17"/>
  <c r="G19" i="17"/>
  <c r="G18" i="17"/>
  <c r="E59" i="24"/>
  <c r="H59" i="19"/>
  <c r="C21" i="19" l="1"/>
  <c r="E21" i="19" s="1"/>
  <c r="C20" i="19"/>
  <c r="E20" i="19" s="1"/>
  <c r="I16" i="21"/>
  <c r="L17" i="21" s="1"/>
  <c r="S13" i="21" s="1"/>
  <c r="S12" i="21" s="1"/>
  <c r="H61" i="19"/>
  <c r="E12" i="19"/>
  <c r="I12" i="19"/>
  <c r="J12" i="19"/>
  <c r="I13" i="19"/>
  <c r="J13" i="19"/>
  <c r="E11" i="19"/>
  <c r="I11" i="19"/>
  <c r="G9" i="17"/>
  <c r="C9" i="19" s="1"/>
  <c r="E13" i="19"/>
  <c r="D59" i="19"/>
  <c r="J21" i="19" l="1"/>
  <c r="I21" i="19"/>
  <c r="F21" i="19"/>
  <c r="F20" i="19"/>
  <c r="I20" i="19"/>
  <c r="J20" i="19"/>
  <c r="F10" i="19"/>
  <c r="I10" i="19"/>
  <c r="E9" i="24"/>
  <c r="F12" i="19"/>
  <c r="F11" i="19"/>
  <c r="F13" i="19"/>
  <c r="E59" i="19"/>
  <c r="F59" i="19" l="1"/>
  <c r="J59" i="19"/>
  <c r="I59" i="19"/>
  <c r="E23" i="21" s="1"/>
  <c r="F61" i="19" l="1"/>
  <c r="E5" i="21"/>
  <c r="L3" i="21" s="1"/>
  <c r="S3" i="21" s="1"/>
  <c r="L23" i="21"/>
  <c r="I61" i="19"/>
  <c r="I23" i="21"/>
  <c r="L24" i="21" s="1"/>
  <c r="J61" i="19"/>
  <c r="S20" i="21" l="1"/>
  <c r="S19" i="21" s="1"/>
  <c r="S2" i="21" l="1"/>
</calcChain>
</file>

<file path=xl/sharedStrings.xml><?xml version="1.0" encoding="utf-8"?>
<sst xmlns="http://schemas.openxmlformats.org/spreadsheetml/2006/main" count="1425" uniqueCount="570">
  <si>
    <t>Manufacturer</t>
  </si>
  <si>
    <t>Function</t>
  </si>
  <si>
    <t xml:space="preserve">(please select) </t>
  </si>
  <si>
    <t>Supplier declaration added?</t>
  </si>
  <si>
    <t>SDS added?</t>
  </si>
  <si>
    <t>Hazard Statement</t>
  </si>
  <si>
    <t xml:space="preserve">Weight in the formulation  </t>
  </si>
  <si>
    <t>in mass- % (=g/100g product)</t>
  </si>
  <si>
    <t xml:space="preserve">COMISSION DECISION </t>
  </si>
  <si>
    <t>Type of product:</t>
  </si>
  <si>
    <t>Annex:</t>
  </si>
  <si>
    <t>Water</t>
  </si>
  <si>
    <t>Ingoing substance</t>
  </si>
  <si>
    <t>Contained in primary product</t>
  </si>
  <si>
    <t>(please select)</t>
  </si>
  <si>
    <t>Active content in the product</t>
  </si>
  <si>
    <t>(in %)</t>
  </si>
  <si>
    <t>Weight in the formulation</t>
  </si>
  <si>
    <t>In case H/EUH-statement with possible restrictions are detected, font changed to red</t>
  </si>
  <si>
    <t>If H-phrase resticted: exemption because</t>
  </si>
  <si>
    <t>BCF / log Kow</t>
  </si>
  <si>
    <t>Value of BCF / log Kow</t>
  </si>
  <si>
    <t>Form in the product</t>
  </si>
  <si>
    <t>Organic substance</t>
  </si>
  <si>
    <t>Contains palm/ plam kernel oil</t>
  </si>
  <si>
    <t>Surfactant</t>
  </si>
  <si>
    <t xml:space="preserve">Sum: </t>
  </si>
  <si>
    <t>Functions</t>
  </si>
  <si>
    <t>Select for preservatives, colorants and UV filters</t>
  </si>
  <si>
    <t>BCF</t>
  </si>
  <si>
    <t>Log Kow</t>
  </si>
  <si>
    <t>Bioacumulation</t>
  </si>
  <si>
    <t>Verification CB</t>
  </si>
  <si>
    <t>Acute toxicity</t>
  </si>
  <si>
    <t>Chronic toxicity</t>
  </si>
  <si>
    <t>Degradation</t>
  </si>
  <si>
    <t>DID-no</t>
  </si>
  <si>
    <t>Ingredient name</t>
  </si>
  <si>
    <t>LC50/ EC50 (*)</t>
  </si>
  <si>
    <t>SF (*) (Acute)</t>
  </si>
  <si>
    <t>NOEC (*)</t>
  </si>
  <si>
    <t>SF (*) (Chronic)</t>
  </si>
  <si>
    <t>DF</t>
  </si>
  <si>
    <t>not included</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</si>
  <si>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</si>
  <si>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</si>
  <si>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</si>
  <si>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</si>
  <si>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</si>
  <si>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</si>
  <si>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</si>
  <si>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</si>
  <si>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</si>
  <si>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</si>
  <si>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</si>
  <si>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</si>
  <si>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</si>
  <si>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</si>
  <si>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 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</si>
  <si>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</si>
  <si>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</si>
  <si>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</si>
  <si>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</si>
  <si>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</si>
  <si>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</si>
  <si>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</si>
  <si>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</si>
  <si>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</si>
  <si>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</si>
  <si>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C12-14 Fatty acid methyl Ester Sulphonate</t>
  </si>
  <si>
    <t>C16-18 Fatty acid methyl Ester Sulphonate</t>
  </si>
  <si>
    <t>C14-16 alfa olefin sulphonate</t>
  </si>
  <si>
    <t>C14-18 alfa olefin sulphonate</t>
  </si>
  <si>
    <t>Soap C&gt;12-22 (Remark: fatty acids are listed in DID 2520)</t>
  </si>
  <si>
    <t>C9-11, ≥2 - ≤10 EO Carboxymethylated, sodium salt or acid</t>
  </si>
  <si>
    <t>C12-18 Alkyl phosphate esters</t>
  </si>
  <si>
    <t>iso C13 Alkyl phosphate esters, 3 EO</t>
  </si>
  <si>
    <t>Sodium cocoyl glutamate</t>
  </si>
  <si>
    <t>Sodium Lauroyl Methyl Isethionate</t>
  </si>
  <si>
    <t>Non-ionic surfactants (****)</t>
  </si>
  <si>
    <t>2-propylheptyl alcohol, &gt;2.5 - ≤10 EO</t>
  </si>
  <si>
    <t>C10 Alcohol, ≥ 5 - ≤11 EO multibranched(Trimer-propen-oxo-alcohol)</t>
  </si>
  <si>
    <t>C12-14 Alcohol, ≥5 - ≤8 EO 1 t-BuO (endcapped)</t>
  </si>
  <si>
    <t>C12-15 Alcohol, ≥2 - ≤6 EO, ≥2 - ≤6 PO</t>
  </si>
  <si>
    <t>C10-16 Alcohol, 6 and 7 EO, ≤3 PO</t>
  </si>
  <si>
    <t>C12-18 Alkyl glycerol ester (even numbered), 1-6,5 EO</t>
  </si>
  <si>
    <t>C12-18 Alkyl glycerol ester (even numbered), &gt;6,5-17 EO</t>
  </si>
  <si>
    <t>C4-10 Alkyl polyglucoside</t>
  </si>
  <si>
    <t>C8-12 Alkyl polyglycoside, branched</t>
  </si>
  <si>
    <t>C 12-14 Alkyl polyglycoside</t>
  </si>
  <si>
    <t>C 16-18 Alkyl polyglycoside</t>
  </si>
  <si>
    <t>N1 C8-18 Alkanolamide (even numbered)</t>
  </si>
  <si>
    <t>N2 C8-18 Alkanolamide</t>
  </si>
  <si>
    <t>PEG-4 Rapeseed amide</t>
  </si>
  <si>
    <t>Amines, coco, ≥10 - ≤15 EO</t>
  </si>
  <si>
    <t>Amines, tallow, ≤2,5 EO</t>
  </si>
  <si>
    <t>Amines, tallow, ≥5 - ≤11 EO</t>
  </si>
  <si>
    <t>Amines, tallow, ≥20 - ≤50 EO</t>
  </si>
  <si>
    <t>Amines, C18 saturated and unsaturated, ≥20 - ≤25 EO</t>
  </si>
  <si>
    <t>C12 sorbitan monoester, 20 EO (polysorbate 20)</t>
  </si>
  <si>
    <t>C18 sorbitan monoester, 20 EO</t>
  </si>
  <si>
    <t>C8-10 Sorbitan mono- or diester</t>
  </si>
  <si>
    <t>Sorbitan stearate</t>
  </si>
  <si>
    <t>C12-14 Fatty acid methyl ester (MEE), 1-30 EO</t>
  </si>
  <si>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</si>
  <si>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</si>
  <si>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</si>
  <si>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</si>
  <si>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</si>
  <si>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</si>
  <si>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</si>
  <si>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</si>
  <si>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</si>
  <si>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</si>
  <si>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</si>
  <si>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</si>
  <si>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</si>
  <si>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</si>
  <si>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</si>
  <si>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</si>
  <si>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</si>
  <si>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</si>
  <si>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</si>
  <si>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</si>
  <si>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</si>
  <si>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</si>
  <si>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</si>
  <si>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</si>
  <si>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</si>
  <si>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</si>
  <si>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</si>
  <si>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Cationic surfactants</t>
  </si>
  <si>
    <t>C8-16 alkyltrimethyl or benzyldimethyl quaternary ammonium salts</t>
  </si>
  <si>
    <t>C16-18 alkyl benzyldimethyl quaternary ammonium salts</t>
  </si>
  <si>
    <t>tri C16-18 Esterquats</t>
  </si>
  <si>
    <t>di C16-18 Esterquats</t>
  </si>
  <si>
    <t>Preservatives (****)</t>
  </si>
  <si>
    <t>1,2-Benzisothiazol-3-one (BIT)</t>
  </si>
  <si>
    <t>5-bromo-5-nitro-1,3-dioxane</t>
  </si>
  <si>
    <t>P</t>
  </si>
  <si>
    <t>2-bromo-2-nitropropane-1,3-diol (Remark: Formaldehyde donor)</t>
  </si>
  <si>
    <t>CMI + MI in mixture 3:1 (CAS 55965-84-9) (§)</t>
  </si>
  <si>
    <t>2-Methyl-2H-isothiazol-3-one (MI)</t>
  </si>
  <si>
    <t>Methyldibromoglutaronitrile</t>
  </si>
  <si>
    <t>Methyl-, Ethyl- and Propylparaben</t>
  </si>
  <si>
    <t>Sodium hydroxy methyl glycinate</t>
  </si>
  <si>
    <t>Phenoxy-ethanol</t>
  </si>
  <si>
    <t>Sorbate and sorbic acid</t>
  </si>
  <si>
    <t>N-(3-Aminopropyl)-N-dodecylpropane-1,3-diamine</t>
  </si>
  <si>
    <t>Phenoxypropanol</t>
  </si>
  <si>
    <t>Other ingredients (****)</t>
  </si>
  <si>
    <t>NA</t>
  </si>
  <si>
    <t>Nitrilotriacetat (NTA)</t>
  </si>
  <si>
    <t>GLDA</t>
  </si>
  <si>
    <t>Carboxymethyl inulin (CMI)</t>
  </si>
  <si>
    <t>Veg. Oil</t>
  </si>
  <si>
    <t>Veg. Oil (hydrogenated)</t>
  </si>
  <si>
    <t>Lauric Acid (C12:0)</t>
  </si>
  <si>
    <t>Fatty acid, C≥6-C≤12 methyl ester</t>
  </si>
  <si>
    <t>Lanolin</t>
  </si>
  <si>
    <t>Polyasparaginic acid, Na-salt</t>
  </si>
  <si>
    <t>Perborates (as Boron)</t>
  </si>
  <si>
    <t>Percarbonate</t>
  </si>
  <si>
    <t>H2O2</t>
  </si>
  <si>
    <t>Tetraacetylethylenediamine (TAED)</t>
  </si>
  <si>
    <t>Cetyl Alcohol and Cetearyl Alcohol</t>
  </si>
  <si>
    <t>Mono-, di- and triethanol amine</t>
  </si>
  <si>
    <t>Polyvinylpyrrolidon (PVP)</t>
  </si>
  <si>
    <t>Carboxymethylcellulose (CMC)</t>
  </si>
  <si>
    <t>Polyethylene glycol, MW≥4100</t>
  </si>
  <si>
    <t>Polyethylene glycol, MW&lt;4100</t>
  </si>
  <si>
    <t>Cumene sulphonates</t>
  </si>
  <si>
    <t>Xylene sulphonate</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</si>
  <si>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</si>
  <si>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</si>
  <si>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</si>
  <si>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</si>
  <si>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</si>
  <si>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</si>
  <si>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</si>
  <si>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</si>
  <si>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</si>
  <si>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Zn Ftalocyanin sulphonate</t>
  </si>
  <si>
    <t>Formic acid (Ca salt)</t>
  </si>
  <si>
    <t>Ethylene glycol monobutyl ether</t>
  </si>
  <si>
    <t>Diethylene glycol monomethyl ether</t>
  </si>
  <si>
    <t>Diethylene glycol monoethyl ether</t>
  </si>
  <si>
    <t>Diethylene glycol monobutyl ether</t>
  </si>
  <si>
    <t>Diethylene glycol dimethylether</t>
  </si>
  <si>
    <t>Propylene glycol monomethyl ether</t>
  </si>
  <si>
    <t>Propylene glycol monobutylether</t>
  </si>
  <si>
    <t>Dipropylene glycol monomethyl ether</t>
  </si>
  <si>
    <t>Dipropylene glycol monobutylether</t>
  </si>
  <si>
    <t>Dipropylene glycol dimethylether</t>
  </si>
  <si>
    <t>Ethylenebisstearamides</t>
  </si>
  <si>
    <t>Hydroxyl ethyl cellulose</t>
  </si>
  <si>
    <t>Hydroxypropyl methyl cellulose</t>
  </si>
  <si>
    <t>1-methyl-2-pyrrolidone</t>
  </si>
  <si>
    <t>Trimethyl pentanediol mono-isobutyrate</t>
  </si>
  <si>
    <t>Piperidinol-propanetricarboxylate salt</t>
  </si>
  <si>
    <t>Diethylaminopropyl-DAS</t>
  </si>
  <si>
    <t>Methylbenzamide-DAS</t>
  </si>
  <si>
    <t>Pentaerythritol-tetrakis-phenol-propionate</t>
  </si>
  <si>
    <t>Denatonium benzoate</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</si>
  <si>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</si>
  <si>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</si>
  <si>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</si>
  <si>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</si>
  <si>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</si>
  <si>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</si>
  <si>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</si>
  <si>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</si>
  <si>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</si>
  <si>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</si>
  <si>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</si>
  <si>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</si>
  <si>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</si>
  <si>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</si>
  <si>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</si>
  <si>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Aerobic</t>
  </si>
  <si>
    <t>Aspartic acid, N-(3-carboxy-1-oxo-sulfopropyl)-N-(C16-C18 (even numbered), C18 unsaturated alkyl) tetrasodium salts</t>
  </si>
  <si>
    <t>Lauroyl Sarcosinate</t>
  </si>
  <si>
    <t>C12-18, ≥2 - ≤10 EO Carboxymethylated, sodium salt or acid</t>
  </si>
  <si>
    <t>Coconut fatty acid monoethanolamide 4 and 5 EO</t>
  </si>
  <si>
    <t>Amines, C18 saturated and unsaturated, ≤2,5 EO</t>
  </si>
  <si>
    <t>Amines, C18 saturated and unsaturated, ≥5 - ≤15 EO</t>
  </si>
  <si>
    <t>Benzyl alcohol</t>
  </si>
  <si>
    <t>Chloroacetamide</t>
  </si>
  <si>
    <t>Diazolinidylurea</t>
  </si>
  <si>
    <t>Formaldehyde</t>
  </si>
  <si>
    <t>Glutaraldehyde</t>
  </si>
  <si>
    <t>o-Phenylphenol</t>
  </si>
  <si>
    <t>Sodium benzoate</t>
  </si>
  <si>
    <t>Triclosan</t>
  </si>
  <si>
    <t>Paraffin (CAS 8002-74-2)</t>
  </si>
  <si>
    <t>Glycerol, sorbitol and xylitol</t>
  </si>
  <si>
    <t>Phosphate, as STPP</t>
  </si>
  <si>
    <t>Zeolite (Insoluble Inorganic)</t>
  </si>
  <si>
    <t>Citrate and citric acid</t>
  </si>
  <si>
    <t>Polycarboxylates homopolymer of acrylic acid</t>
  </si>
  <si>
    <t>Polycarboxylates copolymer of acrylic/maleic acid</t>
  </si>
  <si>
    <t>EDTA</t>
  </si>
  <si>
    <t>Phosphonates</t>
  </si>
  <si>
    <t>EDDS</t>
  </si>
  <si>
    <t>Clay (Insoluble Inorganic)</t>
  </si>
  <si>
    <t>Carbonates</t>
  </si>
  <si>
    <t>Fatty acids, C≥14-C≤22 (even numbered) (Remark: soap is listed in DID 2025)</t>
  </si>
  <si>
    <t>Soluble Silicates</t>
  </si>
  <si>
    <t>C1-C3 alcohols</t>
  </si>
  <si>
    <t>Sodium and magnesium sulphate</t>
  </si>
  <si>
    <t>Calcium- and sodium chloride</t>
  </si>
  <si>
    <t>Urea</t>
  </si>
  <si>
    <t>Silicon dioxide, quartz (Insoluble inorganic)</t>
  </si>
  <si>
    <t>Na-/Mg-/KOH</t>
  </si>
  <si>
    <t>Anionic polyester</t>
  </si>
  <si>
    <t>PVNO/PVPI</t>
  </si>
  <si>
    <t>Iminodisuccinat</t>
  </si>
  <si>
    <t>FWA 1</t>
  </si>
  <si>
    <t>FWA 5</t>
  </si>
  <si>
    <t>1-decanol</t>
  </si>
  <si>
    <t>Methyl laurate</t>
  </si>
  <si>
    <t>Adipic acid</t>
  </si>
  <si>
    <t>Maleic acid</t>
  </si>
  <si>
    <t>Malic acid</t>
  </si>
  <si>
    <t>Tartaric acid</t>
  </si>
  <si>
    <t>Phosphoric acid</t>
  </si>
  <si>
    <t>Oxalic acid</t>
  </si>
  <si>
    <t>Acetic acid</t>
  </si>
  <si>
    <t>Lactic acid</t>
  </si>
  <si>
    <t>Sulphamic acid</t>
  </si>
  <si>
    <t>Salicylic acid</t>
  </si>
  <si>
    <t>Glycolic acid</t>
  </si>
  <si>
    <t>Glutaric acid</t>
  </si>
  <si>
    <t>Malonic acid</t>
  </si>
  <si>
    <t>Ethylene glycol</t>
  </si>
  <si>
    <t>Diethylene glycol</t>
  </si>
  <si>
    <t>Propylene glycol</t>
  </si>
  <si>
    <t>Dipropylene glycol</t>
  </si>
  <si>
    <t>Triethylene glycol</t>
  </si>
  <si>
    <t>Tall oil</t>
  </si>
  <si>
    <t>Sodium gluconate</t>
  </si>
  <si>
    <t>Glycol distearate</t>
  </si>
  <si>
    <t>Xanthan gum</t>
  </si>
  <si>
    <t>Benzotriazole</t>
  </si>
  <si>
    <t>Block polymers ***</t>
  </si>
  <si>
    <t>Succinate</t>
  </si>
  <si>
    <t>Polyaspartic acid</t>
  </si>
  <si>
    <r>
      <t xml:space="preserve">iso-C13 Alcohol, ≤ </t>
    </r>
    <r>
      <rPr>
        <sz val="10"/>
        <rFont val="Arial"/>
        <family val="2"/>
      </rPr>
      <t>2,5 EO</t>
    </r>
  </si>
  <si>
    <r>
      <t xml:space="preserve">iso-C13 Alcohol, &gt;2,5 - ≤6 </t>
    </r>
    <r>
      <rPr>
        <sz val="10"/>
        <rFont val="Arial"/>
        <family val="2"/>
      </rPr>
      <t>EO</t>
    </r>
  </si>
  <si>
    <r>
      <t xml:space="preserve">iso-C13 Alcohol, ≥7 - &lt;20 </t>
    </r>
    <r>
      <rPr>
        <sz val="10"/>
        <rFont val="Arial"/>
        <family val="2"/>
      </rPr>
      <t>EO</t>
    </r>
  </si>
  <si>
    <r>
      <t>C8-11 Alcohol, predominately linear, ≤</t>
    </r>
    <r>
      <rPr>
        <sz val="10"/>
        <rFont val="Arial"/>
        <family val="2"/>
      </rPr>
      <t>2,5 EO</t>
    </r>
  </si>
  <si>
    <r>
      <t xml:space="preserve">C8-11 Alcohol, predominately linear, &gt;2,5 - ≤10 </t>
    </r>
    <r>
      <rPr>
        <sz val="10"/>
        <rFont val="Arial"/>
        <family val="2"/>
      </rPr>
      <t>EO</t>
    </r>
  </si>
  <si>
    <r>
      <t xml:space="preserve">C8-11 Alcohol, predominately linear, &gt;10 </t>
    </r>
    <r>
      <rPr>
        <sz val="10"/>
        <rFont val="Arial"/>
        <family val="2"/>
      </rPr>
      <t>EO</t>
    </r>
  </si>
  <si>
    <r>
      <t>C9-11 Alcohol, branched, ≤</t>
    </r>
    <r>
      <rPr>
        <sz val="10"/>
        <rFont val="Arial"/>
        <family val="2"/>
      </rPr>
      <t>2,5 EO</t>
    </r>
  </si>
  <si>
    <r>
      <t xml:space="preserve">C14-15 Alcohol, predominately linear, &gt;2,5 - ≤10 </t>
    </r>
    <r>
      <rPr>
        <sz val="10"/>
        <rFont val="Arial"/>
        <family val="2"/>
      </rPr>
      <t>EO</t>
    </r>
  </si>
  <si>
    <t>TF (Acute)</t>
  </si>
  <si>
    <t>TF (Chronic)</t>
  </si>
  <si>
    <t>Anaerobic</t>
  </si>
  <si>
    <t>TF chronic</t>
  </si>
  <si>
    <t>Other</t>
  </si>
  <si>
    <t>Active content (AC)</t>
  </si>
  <si>
    <t>CDV chron</t>
  </si>
  <si>
    <t>(in g/100g product)</t>
  </si>
  <si>
    <t>(in l/100g product)</t>
  </si>
  <si>
    <t>(in l/g AC)</t>
  </si>
  <si>
    <t>Surfactant not readily biodegradable</t>
  </si>
  <si>
    <t>Surfactant anaerobically non- biodegradable</t>
  </si>
  <si>
    <t>Organic substance not readily biodegradable</t>
  </si>
  <si>
    <t>(in mg/g AC)</t>
  </si>
  <si>
    <t xml:space="preserve">Product name: </t>
  </si>
  <si>
    <t>Fill-in only if substance not included in the DID-list</t>
  </si>
  <si>
    <t>Exemption for anNBO</t>
  </si>
  <si>
    <t>CDV chronic</t>
  </si>
  <si>
    <t>CDV chronic (l/g AC)</t>
  </si>
  <si>
    <t>Límit CDV (l/g AC)</t>
  </si>
  <si>
    <t xml:space="preserve">I declare that the critical dilution volume (CDVchronic) of the product is within the indicated limits: </t>
  </si>
  <si>
    <t xml:space="preserve">a) </t>
  </si>
  <si>
    <t>Biodegradability of surfactants</t>
  </si>
  <si>
    <t>I declare that all surfactants included in the product are readily degradable under aerobic conditions and biodegradable under anaerobic conditions</t>
  </si>
  <si>
    <t xml:space="preserve">b) </t>
  </si>
  <si>
    <t>Biodegradability of organic ingoing substances</t>
  </si>
  <si>
    <t>Límit aNBO (mg/g AC)</t>
  </si>
  <si>
    <t>aNBO (mg/g AC)</t>
  </si>
  <si>
    <t>Límit anNBO (mg/g AC)</t>
  </si>
  <si>
    <t>anNBO (mg/g AC)</t>
  </si>
  <si>
    <t xml:space="preserve">Verification </t>
  </si>
  <si>
    <t>Identity preserved</t>
  </si>
  <si>
    <t>Segregated</t>
  </si>
  <si>
    <t>Mass balance</t>
  </si>
  <si>
    <t>RSPO</t>
  </si>
  <si>
    <t>RSPO number</t>
  </si>
  <si>
    <t>Colorant</t>
  </si>
  <si>
    <t>Preservative</t>
  </si>
  <si>
    <t>Fragrance</t>
  </si>
  <si>
    <t>The product includes a refilling option</t>
  </si>
  <si>
    <t>Primary packaging</t>
  </si>
  <si>
    <t>Volume capacity of the parent pack (V) in ml</t>
  </si>
  <si>
    <t>The product is sold with secondary packaging</t>
  </si>
  <si>
    <t>Part of the primary packaging</t>
  </si>
  <si>
    <t>Part of the secondary packaging</t>
  </si>
  <si>
    <t>Weight of non-renewable + non-recycled in g</t>
  </si>
  <si>
    <t>Weight of primary packaging part in g</t>
  </si>
  <si>
    <t>Weight of secondary packaging part in g</t>
  </si>
  <si>
    <t xml:space="preserve">Weight of packaging (W) in grams: </t>
  </si>
  <si>
    <t xml:space="preserve">Weight of non-renewable + non recycled (N) in grams: </t>
  </si>
  <si>
    <t>Proportional weight of the secondary packaging:</t>
  </si>
  <si>
    <t>Refill packaging</t>
  </si>
  <si>
    <t xml:space="preserve">PIR= </t>
  </si>
  <si>
    <t xml:space="preserve">Weight of packaging (Wrefill) in grams: </t>
  </si>
  <si>
    <t xml:space="preserve">Weight of non-renewable + non recycled (Nrefill) in grams: </t>
  </si>
  <si>
    <t>Primary packaging and product (m1) in grams</t>
  </si>
  <si>
    <t>Primary packaging and product residue in normal conditions of use (m2) in grams</t>
  </si>
  <si>
    <t>Primary packaging emptied and cleaned  (m3) in grams</t>
  </si>
  <si>
    <t xml:space="preserve">R= </t>
  </si>
  <si>
    <t>Restrictions on ingoing substances classified under Regulation (EC) No 1272/2008</t>
  </si>
  <si>
    <t>I declare that the minimum volume of the product is 150ml</t>
  </si>
  <si>
    <t xml:space="preserve">Primary packaging </t>
  </si>
  <si>
    <t>I declare that no additional packaging for the product is used</t>
  </si>
  <si>
    <t xml:space="preserve">Packaging Impact Ratio (PIR) </t>
  </si>
  <si>
    <t>I declare that the content of organic substances in the product that are not readily biodegradable or anaerobically non-biodegradable is below the indicated limits:</t>
  </si>
  <si>
    <t>The primary packaging of the product is made of more than 80% of recycled materials</t>
  </si>
  <si>
    <t>The primary packaging of the product is made of less than 80% of recycled materials</t>
  </si>
  <si>
    <t>Results Criterion 1 Toxicity to aquatic organisms and Criterion 2 Biodegradability</t>
  </si>
  <si>
    <t xml:space="preserve">c) </t>
  </si>
  <si>
    <t xml:space="preserve">Information and design of primary packaging </t>
  </si>
  <si>
    <t>(i)</t>
  </si>
  <si>
    <t>Information on primary packaging</t>
  </si>
  <si>
    <t xml:space="preserve">I declare that the primary packaging includes a text indicating the importance of using the correct dosage to mimise the impacts on the environment </t>
  </si>
  <si>
    <t>The product is refillable</t>
  </si>
  <si>
    <t xml:space="preserve">I declare that the primary packging includes information with a reference to use refills to minimise impacts on the environment </t>
  </si>
  <si>
    <t>I declare that the primary packaging includes information in relation to empty product disposal</t>
  </si>
  <si>
    <t xml:space="preserve">The product dimension does not allow a proper display of information due to lack of space </t>
  </si>
  <si>
    <t>(ii)</t>
  </si>
  <si>
    <t>Design of primary packaging</t>
  </si>
  <si>
    <t>I declare that the product is sold with a convenient dosing system (pumps or opening not too wide).</t>
  </si>
  <si>
    <t>I declare that the residual amount of the product in the container is below 5%</t>
  </si>
  <si>
    <t xml:space="preserve">d) </t>
  </si>
  <si>
    <t xml:space="preserve">Design for recycling of plastic packaging </t>
  </si>
  <si>
    <t>The product is sold with pumps and aerosol containers</t>
  </si>
  <si>
    <t>Container</t>
  </si>
  <si>
    <t>Label or sleeve</t>
  </si>
  <si>
    <t>Adhesive</t>
  </si>
  <si>
    <t>Clousure</t>
  </si>
  <si>
    <t>Barrier coating</t>
  </si>
  <si>
    <t>Packaging element</t>
  </si>
  <si>
    <t>I declare that the product contains ingoing substances derived from palm oil or palm kernel oil</t>
  </si>
  <si>
    <t>I declare that the product does not contain ingoing substances derived neither from palm oil or palm kernel oil, nor from chemical derivatives of palm oil and for palm kernel oil</t>
  </si>
  <si>
    <t>I declare that the palm oil or the palm kernel oil used in the manufacturing of the ingoing substances originates from sustainably managed plantations.</t>
  </si>
  <si>
    <t>I declare that the palm oil or the palm kernel oil used in the manufacturing of the ingoing substances is covered by a Chain of Custody certificate (CoC).</t>
  </si>
  <si>
    <t>Derogated substance</t>
  </si>
  <si>
    <t>Below measurement threshold</t>
  </si>
  <si>
    <t>All the ingoing substances included in the formulation of the product appear in the DID list Part A</t>
  </si>
  <si>
    <t>A substance is exempted from the requirement for anaerobic biodegradability</t>
  </si>
  <si>
    <t>Supporting evidence required:</t>
  </si>
  <si>
    <t xml:space="preserve">Description of the product: </t>
  </si>
  <si>
    <t xml:space="preserve">Ingoing substances </t>
  </si>
  <si>
    <t>Ingoing substances- DID numbers</t>
  </si>
  <si>
    <t>Ingredient trade name</t>
  </si>
  <si>
    <t>CAS no.</t>
  </si>
  <si>
    <t>Approved for food</t>
  </si>
  <si>
    <t>DID  no.</t>
  </si>
  <si>
    <t xml:space="preserve">Ingredient name </t>
  </si>
  <si>
    <t>Liquid</t>
  </si>
  <si>
    <t>Solid</t>
  </si>
  <si>
    <t>I declare that secondary packaging is used to group the product and its refill or for products that include several elements for their use</t>
  </si>
  <si>
    <t>The product is sold with pump that can be opened without compromising the desing</t>
  </si>
  <si>
    <t>I declare that a refilling option is provided in the same or higher primary packaging capacity</t>
  </si>
  <si>
    <t>A refill option is offered</t>
  </si>
  <si>
    <t>Image of the product packaging</t>
  </si>
  <si>
    <t xml:space="preserve">Description of the dosage device </t>
  </si>
  <si>
    <t>Packaging information: container, laberl or sleeve, adhesives, cloure and barrier coating</t>
  </si>
  <si>
    <t>Renewable ingredient</t>
  </si>
  <si>
    <t>Renewable ingredients</t>
  </si>
  <si>
    <t>Palm oil</t>
  </si>
  <si>
    <t>Palm kernel oil</t>
  </si>
  <si>
    <t>Palm oil or palm kernel oil derivates</t>
  </si>
  <si>
    <t>I declare that the final product does not contain any of the restricted substances with the hazard statements specified in the Commission Decision and above the indicated threshold levels.</t>
  </si>
  <si>
    <t>Supplier declarations</t>
  </si>
  <si>
    <t xml:space="preserve">I declare that the final product contains the following derogated substances from restricted substances: </t>
  </si>
  <si>
    <t>Substance</t>
  </si>
  <si>
    <t>Hazard statement</t>
  </si>
  <si>
    <t>Name of the substance</t>
  </si>
  <si>
    <t>Concentration in the final product (%)</t>
  </si>
  <si>
    <t>H412</t>
  </si>
  <si>
    <t>I declare that the final product contains the following exempted substances:</t>
  </si>
  <si>
    <t>Enzymes (including stabilisers and preservatives in the enzyme raw material) if they are in liquid form or as granulate capsules</t>
  </si>
  <si>
    <t>Restricted substances</t>
  </si>
  <si>
    <t>Excluded substances</t>
  </si>
  <si>
    <t>I declare that the final product does not contain any of the excluded substance with the hazard statements listed in the Commission Decision, regardless of their concentration.</t>
  </si>
  <si>
    <t>(iii)</t>
  </si>
  <si>
    <t>Final product</t>
  </si>
  <si>
    <t>Specified excluded substances</t>
  </si>
  <si>
    <t>I declare that the latest list of endocrine disrupting substances has been used on the date of this declaration.</t>
  </si>
  <si>
    <t>Restrictions of Substances of Very High Concern (SVHCs)</t>
  </si>
  <si>
    <t xml:space="preserve">I declare that the final product does not contain any ingoing substances that have been identified in accordance with the procedure described in Article 59 of Regulation (EU) No 1907/2006. </t>
  </si>
  <si>
    <t>I declare that the latest list of SVHCs has been used on the date of this declaration.</t>
  </si>
  <si>
    <t>Fragrances</t>
  </si>
  <si>
    <t>I declare that the final product does not contain fragrance substances.</t>
  </si>
  <si>
    <t>I declare that all the fragrances included in the product are manufactured and handled following the code of practice of the International Fragrance Association (IFRA).</t>
  </si>
  <si>
    <t xml:space="preserve">e) </t>
  </si>
  <si>
    <t>Preservatives</t>
  </si>
  <si>
    <t>I declare that the final product does not contain preservatives with a H317 or H334 hazard statement, regardless of the concentration.</t>
  </si>
  <si>
    <t>I declare that all the preservatives included in the product are not bio-accumulating:</t>
  </si>
  <si>
    <t>log Kow:</t>
  </si>
  <si>
    <t xml:space="preserve">BCF: </t>
  </si>
  <si>
    <t>I declare that the final product does not contain preservatives.</t>
  </si>
  <si>
    <t xml:space="preserve">f) </t>
  </si>
  <si>
    <t>Colorants</t>
  </si>
  <si>
    <t>I declare that the final product does not contain colorants.</t>
  </si>
  <si>
    <t>I declare that the final product does not contain colorants with a H317 or H334 hazard statement, regardless of the concentration.</t>
  </si>
  <si>
    <t>I declare that all the colorants included in the product are not bio-accumulating.:</t>
  </si>
  <si>
    <t xml:space="preserve">I declare that the final product contains colouring agents approved for use in food. </t>
  </si>
  <si>
    <t>or</t>
  </si>
  <si>
    <t xml:space="preserve">I declare that the logo is used according to the logo guidelines. </t>
  </si>
  <si>
    <t xml:space="preserve">Sample of the product label or artwork of the packaging where the EU Ecolabel is placed. </t>
  </si>
  <si>
    <t xml:space="preserve">Palm oil or palm kernel oil mass balance certified is only accepted before 2025 </t>
  </si>
  <si>
    <t>Readily biodegradable</t>
  </si>
  <si>
    <t>No bioavailable</t>
  </si>
  <si>
    <t>Leave-on</t>
  </si>
  <si>
    <t>No bioaccumulable</t>
  </si>
  <si>
    <t>General information of the product:</t>
  </si>
  <si>
    <t>Detergents Ingredients Database, version 2016. Part A</t>
  </si>
  <si>
    <t>Detergents Ingredients Database, version 2016. Part B</t>
  </si>
  <si>
    <t>PROCEDURE FOR ESTABLISHING PARAMETER VALUES FOR SUBSTANCES NOT ON THE DID-LIST</t>
  </si>
  <si>
    <t>As a general rule the listed parameter values must be used for all substances on the DID-list. An exception is made for perfumes and dyes, where additional test results are accepted (see footnote in Part A).</t>
  </si>
  <si>
    <t>The following approach applies for substances that are not listed on
the DID-list.</t>
  </si>
  <si>
    <t>Aquatic toxicity:</t>
  </si>
  <si>
    <t>CDV is calculated based on the chronic toxicity and chronic safety factors. If no chronic test results are available, the acute toxicity and safety factor must be used and vice versa.</t>
  </si>
  <si>
    <t>The chronic toxicity factor (TFchronic)</t>
  </si>
  <si>
    <t>If the median value for the trophic level exceeds the water solubility, the value is set to 100 mg/L.</t>
  </si>
  <si>
    <t>The Chronic toxicity factor (TFchronic) is the lowest median (NOEC or EC10) of the trophic levels divided by the safety factor (SF).</t>
  </si>
  <si>
    <t>The TFchronic shall be used when calculating the critical dilution volume criterion.</t>
  </si>
  <si>
    <t>Calculate the Median value within each trophic level (fish, crustaceans or algae) using validated test results (NOEC or EC10) for chronic toxicity. If several test results are available for one species within a trophic level, a median for the species shall be calculated first, and these median values shall be used when calculating the median value for the trophic level.</t>
  </si>
  <si>
    <t>-</t>
  </si>
  <si>
    <t>The acute toxicity factor (TFacute)</t>
  </si>
  <si>
    <t>The Acute toxicity factor (TFacute) is the lowest median (LC50 or EC50) of the trophic levels divided by the safety factor (SF).</t>
  </si>
  <si>
    <t xml:space="preserve">Calculate the Median value within each trophic level (fish, crustaceans or algae) using validated test results (LC50 and/or EC50) for acute toxicity. If several test results are available for one species within a trophic level, a median for the species shall be calculated first, and these median values shall be used when calculating the median value for the trophic level. </t>
  </si>
  <si>
    <t>Safety Factor:</t>
  </si>
  <si>
    <t>The Safety Factor (SF) is depending on how many trophic levels are tested, and whether chronic test results are available or not. SF is determined as follows:</t>
  </si>
  <si>
    <t>Data</t>
  </si>
  <si>
    <t>Toxicity/10000</t>
  </si>
  <si>
    <t>Toxicity/5000</t>
  </si>
  <si>
    <t>2 short-term L(E)C50 from species representing two trophic levels (fish and/or crustaceans and/or algae)</t>
  </si>
  <si>
    <t>Toxicity/1000</t>
  </si>
  <si>
    <t>One long-term NOEC or EC10 (fish or crustaceans)</t>
  </si>
  <si>
    <t>Toxicity/100</t>
  </si>
  <si>
    <t>Toxicity/50</t>
  </si>
  <si>
    <t xml:space="preserve">1 short-term L(E)C50  
50 
</t>
  </si>
  <si>
    <t>Toxicity/10</t>
  </si>
  <si>
    <t>At least 1 short-term L(E)C50 from each of three trophic levels of the base-set*</t>
  </si>
  <si>
    <t>Two long-term NOEC or EC10 from species representing two trophic levels (fish and/or crustaceans and/or algae)</t>
  </si>
  <si>
    <t>Long-term NOEC or EC10 from at least three species (normally fish, crustaceans and algae) representing three trophic levels</t>
  </si>
  <si>
    <t>Safety factor (SF)</t>
  </si>
  <si>
    <t>Toxicity factor (TF)</t>
  </si>
  <si>
    <t>* The base set for testing the toxicity of substances towards aquatic organisms consists of acute tests
with fish, daphnia and algae.</t>
  </si>
  <si>
    <t>Aerobic biodegradability</t>
  </si>
  <si>
    <t>The substance must be classified into one of the following classes of compounds:</t>
  </si>
  <si>
    <t>Category</t>
  </si>
  <si>
    <t>Inherently biodegradable, but not ready biodegradable</t>
  </si>
  <si>
    <t>Persisten</t>
  </si>
  <si>
    <t>Not tested for aerobic biodegradability</t>
  </si>
  <si>
    <t>Label</t>
  </si>
  <si>
    <t>Degradation Factors</t>
  </si>
  <si>
    <t>The Degradation Factor (DF) is defined as follows:</t>
  </si>
  <si>
    <t>Readily biodegradable (*)</t>
  </si>
  <si>
    <t>Readily biodegradable (**)</t>
  </si>
  <si>
    <t>Inherently biodegradable</t>
  </si>
  <si>
    <t>Persistent</t>
  </si>
  <si>
    <t xml:space="preserve">(*) All surfactants or other substances consisting of a series of homologues and fulfilling the final degradation requirement of the test, shall be included in this class regardless of fulfilment of the 10-day window criterion. </t>
  </si>
  <si>
    <t>(**) 10-day window criterion not fulfilled. 
For inorganic substances the DF is 0,05 for nutrients, such as sodium nitrate, phosphate or ammonia. DF is 1 for other inorganic substances, such as zeolite, silicates, perborates, sulphamic acid.</t>
  </si>
  <si>
    <t xml:space="preserve">The substances must be tested according to test method OECD 301 A-F or 310 (readily biodegradable) or 302 A-C (inherently biodegradable). </t>
  </si>
  <si>
    <t>Anaerobic biodegradability</t>
  </si>
  <si>
    <t>Anaerobically not biodegradable, i.e. tested and found not biodegradable</t>
  </si>
  <si>
    <t>Not tested for anaerobic biodegradability</t>
  </si>
  <si>
    <t>Anaerobically biodegradable i.e. tested and found biodegradable or not tested but demonstrated through analogy considerations etc</t>
  </si>
  <si>
    <t xml:space="preserve">Category </t>
  </si>
  <si>
    <t xml:space="preserve">A substance is regarded as anaerobically degradable if one of the following tests (or equivalent) is fulfilled with the requirement of at least 60% degradation under anaerobic conditions: </t>
  </si>
  <si>
    <t>ECETOC No 28 (June 1988)</t>
  </si>
  <si>
    <t>OECD 311</t>
  </si>
  <si>
    <t>EN ISO 11734</t>
  </si>
  <si>
    <t>Insoluble inorganic substances</t>
  </si>
  <si>
    <t>If an inorganic substance has a very low water-solubility, or is not soluble in water this must be indicated in the submitted file.</t>
  </si>
  <si>
    <t>PIR =</t>
  </si>
  <si>
    <t>Organic substance anaerobically non biodegradable</t>
  </si>
  <si>
    <t xml:space="preserve">Límit: </t>
  </si>
  <si>
    <t>Result:</t>
  </si>
  <si>
    <t>R =</t>
  </si>
  <si>
    <t>I declare that the PIR of the product does not exceed the limit of 0,2</t>
  </si>
  <si>
    <t xml:space="preserve">Number of foreseen refillings (r) </t>
  </si>
  <si>
    <t>Number of refills requires to meet the total refillable quantity (F)</t>
  </si>
  <si>
    <t>Weight of the product in the packaging (D) in grams</t>
  </si>
  <si>
    <t>Amount of packs in secondary packaging</t>
  </si>
  <si>
    <t>Weight of the product in the packaging (Drefill) in grams</t>
  </si>
  <si>
    <t>SDS of the ingredients</t>
  </si>
  <si>
    <t xml:space="preserve">Comments: </t>
  </si>
  <si>
    <t>Material</t>
  </si>
  <si>
    <t xml:space="preserve">I declare that the material composition of the product's packaging avoids potential contaminants and incompatible materials to facilitate the effective recycling </t>
  </si>
  <si>
    <t xml:space="preserve">Name: </t>
  </si>
  <si>
    <t>Date:</t>
  </si>
  <si>
    <t>Version:</t>
  </si>
  <si>
    <t>Product name</t>
  </si>
  <si>
    <t>Packaging size (L)</t>
  </si>
  <si>
    <t xml:space="preserve">Description of the packaging: </t>
  </si>
  <si>
    <t>Product name:</t>
  </si>
  <si>
    <t>Applicant/Licence holder:</t>
  </si>
  <si>
    <t>Licence number:</t>
  </si>
  <si>
    <t>Countries of availability</t>
  </si>
  <si>
    <t>User or distributor (if deviates from licence holder)</t>
  </si>
  <si>
    <t>Manufacturer and place of manufacture (if deviates from licence holder)</t>
  </si>
  <si>
    <t>I hereby confirm that I have reviewed this document and that the information submitted is true and the amounts and values stated are accurate.</t>
  </si>
  <si>
    <t>I hereby confirm, that the product meets all applicable legal requirements of the country or countries in which the product is intended to be placed on the market</t>
  </si>
  <si>
    <t>2021/1870/EU</t>
  </si>
  <si>
    <t>Annex II: Animal care products</t>
  </si>
  <si>
    <t>Rinse-off products for animal care</t>
  </si>
  <si>
    <t xml:space="preserve">Results Criterion 4(b) Packaging Impact Ratio (PIR) </t>
  </si>
  <si>
    <t xml:space="preserve">Results Criterion 4(c) Information and design of primary packaging </t>
  </si>
  <si>
    <t xml:space="preserve">Results Criterion 4(d) Design for recycling of plastic packaging </t>
  </si>
  <si>
    <t>Results Criterion 5 Sustainable sourcing of palm oil, palm kernel oil and their derivatives</t>
  </si>
  <si>
    <t>Criterion 1- Toxicity to aquatic organisms: Critical Dilution Volume (CDV)</t>
  </si>
  <si>
    <t xml:space="preserve">Criterion 2- Biodegradability </t>
  </si>
  <si>
    <t>Criterion 3- Excluded and restricted substances</t>
  </si>
  <si>
    <t>I declare that the final product is not classified and labelled as being  acutely toxic, a specific target organ toxicant, a respiratory or skin sensitiser, carcinogenic, mutagenic or toxic for reproduction, or hazardous to the aquatic environment, as defined in Annex I to Regulation (EC) No 1272/2008.</t>
  </si>
  <si>
    <t>I declare that the final product does not contain any of the specified excluded substances listed in the Criterion 3(b) of the Commission Decision.</t>
  </si>
  <si>
    <t>Criterion 4- Packaging</t>
  </si>
  <si>
    <t>Criterion 5- Sustainable sourcing of palm oil, palm kernel oil and their derivatives</t>
  </si>
  <si>
    <t>Criterion 6- Fitness for use</t>
  </si>
  <si>
    <t xml:space="preserve">Studies, data and information of ingredients or final formulation </t>
  </si>
  <si>
    <t xml:space="preserve">I declare that the final product fulfil its primary function and any secondary functions claimed </t>
  </si>
  <si>
    <t>I declare that the EU Ecolabel registration/licence number appears on the product and it is used according to the logo guidelines</t>
  </si>
  <si>
    <t xml:space="preserve">Criterion 7- Information on EU Ecolabel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</si>
</sst>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 &quot;#,##0.00\ ;&quot;-€ &quot;#,##0.00\ ;&quot; € -&quot;#\ ;@\ "/>
    <numFmt numFmtId="165" formatCode="0.0"/>
  </numFmts>
  <fonts count="18">
    <font>
      <sz val="10"/>
      <name val="Arial"/>
      <family val="2"/>
    </font>
    <font>
      <sz val="10"/>
      <name val="Arial"/>
      <family val="2"/>
    </font>
    <font>
      <b/>
      <sz val="12"/>
      <name val="Arial"/>
      <family val="2"/>
    </font>
    <font>
      <b/>
      <sz val="12"/>
      <color theme="0"/>
      <name val="Arial"/>
      <family val="2"/>
    </font>
    <font>
      <sz val="12"/>
      <name val="Arial"/>
      <family val="2"/>
    </font>
    <font>
      <b/>
      <sz val="16"/>
      <name val="Arial"/>
      <family val="2"/>
    </font>
    <font>
      <b/>
      <sz val="14"/>
      <name val="Arial"/>
      <family val="2"/>
    </font>
    <font>
      <b/>
      <sz val="10"/>
      <name val="Arial"/>
      <family val="2"/>
    </font>
    <font>
      <sz val="10"/>
      <color theme="0"/>
      <name val="Arial"/>
      <family val="2"/>
    </font>
    <font>
      <b/>
      <sz val="10"/>
      <color theme="0"/>
      <name val="Arial"/>
      <family val="2"/>
    </font>
    <font>
      <sz val="8"/>
      <color theme="0"/>
      <name val="Arial"/>
      <family val="2"/>
    </font>
    <font>
      <u/>
      <sz val="9"/>
      <color indexed="12"/>
      <name val="Geneva"/>
    </font>
    <font>
      <sz val="10"/>
      <color rgb="FFFF0000"/>
      <name val="Arial"/>
      <family val="2"/>
    </font>
    <font>
      <sz val="11"/>
      <color theme="0"/>
      <name val="Arial"/>
      <family val="2"/>
    </font>
    <font>
      <sz val="12"/>
      <color theme="0"/>
      <name val="Arial"/>
      <family val="2"/>
    </font>
    <font>
      <b/>
      <sz val="11"/>
      <name val="Arial"/>
      <family val="2"/>
    </font>
    <font>
      <sz val="10"/>
      <name val="Webdings"/>
      <family val="1"/>
      <charset val="2"/>
    </font>
    <font>
      <sz val="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3"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indexed="9"/>
        <bgColor indexed="64"/>
      </patternFill>
    </fill>
    <fill>
      <patternFill patternType="solid">
        <fgColor indexed="43"/>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ck">
        <color rgb="FF000000"/>
      </right>
      <top/>
      <bottom style="thick">
        <color rgb="FF000000"/>
      </bottom>
      <diagonal/>
    </border>
    <border>
      <left/>
      <right/>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top style="thick">
        <color rgb="FF000000"/>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medium">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top style="medium">
        <color indexed="64"/>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indexed="64"/>
      </bottom>
      <diagonal/>
    </border>
    <border>
      <left style="medium">
        <color rgb="FF000000"/>
      </left>
      <right/>
      <top style="thick">
        <color rgb="FF000000"/>
      </top>
      <bottom/>
      <diagonal/>
    </border>
    <border>
      <left style="medium">
        <color rgb="FF000000"/>
      </left>
      <right/>
      <top/>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medium">
        <color indexed="64"/>
      </left>
      <right style="thin">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451">
    <xf numFmtId="0" fontId="0" fillId="0" borderId="0" xfId="0"/>
    <xf numFmtId="0" fontId="0" fillId="5" borderId="0" xfId="0" applyFont="1" applyFill="1"/>
    <xf numFmtId="0" fontId="0" fillId="5" borderId="0" xfId="0" applyFill="1" applyAlignment="1" applyProtection="1">
      <alignment horizontal="center" vertical="center" wrapText="1"/>
    </xf>
    <xf numFmtId="0" fontId="0" fillId="5" borderId="0" xfId="0" applyFill="1" applyProtection="1"/>
    <xf numFmtId="0" fontId="6" fillId="5" borderId="0" xfId="0" applyFont="1" applyFill="1" applyAlignment="1" applyProtection="1">
      <alignment horizontal="right"/>
    </xf>
    <xf numFmtId="0" fontId="0" fillId="4" borderId="6" xfId="0" applyFill="1" applyBorder="1" applyAlignment="1" applyProtection="1">
      <alignment horizontal="center" vertical="center" wrapText="1"/>
    </xf>
    <xf numFmtId="0" fontId="8" fillId="4" borderId="6" xfId="0" applyFont="1" applyFill="1" applyBorder="1" applyProtection="1"/>
    <xf numFmtId="0" fontId="0" fillId="5" borderId="6" xfId="0" applyFill="1" applyBorder="1" applyProtection="1"/>
    <xf numFmtId="0" fontId="8" fillId="4" borderId="9"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0" fillId="0" borderId="6" xfId="0" applyBorder="1" applyProtection="1">
      <protection locked="0"/>
    </xf>
    <xf numFmtId="0" fontId="0" fillId="5" borderId="6" xfId="0" applyFill="1" applyBorder="1" applyProtection="1">
      <protection locked="0"/>
    </xf>
    <xf numFmtId="0" fontId="0" fillId="2" borderId="6" xfId="0" applyFill="1" applyBorder="1" applyProtection="1">
      <protection locked="0"/>
    </xf>
    <xf numFmtId="0" fontId="0" fillId="5" borderId="0" xfId="0" applyFill="1"/>
    <xf numFmtId="0" fontId="12" fillId="2" borderId="6" xfId="0" applyFont="1" applyFill="1" applyBorder="1" applyProtection="1"/>
    <xf numFmtId="0" fontId="0" fillId="5" borderId="0" xfId="0" applyFill="1" applyAlignment="1">
      <alignment vertical="center"/>
    </xf>
    <xf numFmtId="0" fontId="8" fillId="4" borderId="0" xfId="0" applyFont="1" applyFill="1" applyAlignment="1">
      <alignment vertical="center"/>
    </xf>
    <xf numFmtId="0" fontId="13" fillId="4" borderId="0" xfId="0" applyFont="1" applyFill="1" applyAlignment="1">
      <alignment vertical="center"/>
    </xf>
    <xf numFmtId="0" fontId="0" fillId="5" borderId="0" xfId="0" applyFill="1" applyBorder="1"/>
    <xf numFmtId="0" fontId="0" fillId="5" borderId="0" xfId="0" applyFill="1"/>
    <xf numFmtId="0" fontId="0" fillId="2" borderId="6" xfId="0" applyFill="1" applyBorder="1" applyAlignment="1" applyProtection="1">
      <alignment horizontal="left" vertical="center"/>
      <protection locked="0"/>
    </xf>
    <xf numFmtId="0" fontId="0" fillId="5" borderId="0" xfId="0" applyFill="1"/>
    <xf numFmtId="0" fontId="0" fillId="5" borderId="0" xfId="0" applyFill="1"/>
    <xf numFmtId="0" fontId="0" fillId="4" borderId="0" xfId="0" applyFill="1"/>
    <xf numFmtId="0" fontId="0" fillId="5" borderId="0" xfId="0" applyFill="1" applyBorder="1" applyAlignment="1">
      <alignment vertical="center"/>
    </xf>
    <xf numFmtId="0" fontId="0" fillId="0" borderId="6" xfId="0" applyBorder="1" applyProtection="1"/>
    <xf numFmtId="2" fontId="0" fillId="5" borderId="6" xfId="0" applyNumberFormat="1" applyFill="1" applyBorder="1" applyProtection="1"/>
    <xf numFmtId="0" fontId="0" fillId="8" borderId="0" xfId="0" applyFill="1"/>
    <xf numFmtId="0" fontId="3" fillId="8" borderId="56" xfId="0" applyFont="1" applyFill="1" applyBorder="1" applyAlignment="1">
      <alignment horizontal="center" vertical="center"/>
    </xf>
    <xf numFmtId="0" fontId="0" fillId="8" borderId="59" xfId="0" applyFill="1" applyBorder="1" applyAlignment="1">
      <alignment horizontal="center"/>
    </xf>
    <xf numFmtId="0" fontId="0" fillId="8" borderId="0" xfId="0" applyFill="1" applyBorder="1" applyAlignment="1">
      <alignment horizontal="center"/>
    </xf>
    <xf numFmtId="0" fontId="0" fillId="8" borderId="0" xfId="0" applyFill="1" applyBorder="1" applyAlignment="1">
      <alignment horizontal="center" vertical="center"/>
    </xf>
    <xf numFmtId="0" fontId="0" fillId="8" borderId="56" xfId="0" applyFill="1" applyBorder="1" applyAlignment="1">
      <alignment horizontal="center" vertical="center" wrapText="1"/>
    </xf>
    <xf numFmtId="0" fontId="0" fillId="8" borderId="56" xfId="0" applyFill="1" applyBorder="1" applyAlignment="1">
      <alignment horizontal="center"/>
    </xf>
    <xf numFmtId="0" fontId="0" fillId="8" borderId="0" xfId="0" applyFill="1" applyAlignment="1">
      <alignment horizontal="center"/>
    </xf>
    <xf numFmtId="0" fontId="0" fillId="5" borderId="67" xfId="0" applyFill="1" applyBorder="1"/>
    <xf numFmtId="0" fontId="0" fillId="5" borderId="0" xfId="0" applyFill="1" applyBorder="1" applyAlignment="1">
      <alignment horizontal="left" vertical="center" wrapText="1"/>
    </xf>
    <xf numFmtId="0" fontId="16" fillId="5" borderId="57" xfId="0" applyFont="1" applyFill="1" applyBorder="1" applyAlignment="1">
      <alignment horizontal="center" vertical="center"/>
    </xf>
    <xf numFmtId="0" fontId="0" fillId="8" borderId="0" xfId="0" applyFill="1" applyBorder="1"/>
    <xf numFmtId="0" fontId="16" fillId="5" borderId="0" xfId="0" applyFont="1" applyFill="1" applyBorder="1" applyAlignment="1">
      <alignment horizontal="center" vertical="center"/>
    </xf>
    <xf numFmtId="0" fontId="0" fillId="5" borderId="0" xfId="0" applyFill="1" applyBorder="1" applyAlignment="1">
      <alignment horizontal="center" vertical="center" wrapText="1"/>
    </xf>
    <xf numFmtId="0" fontId="0" fillId="5" borderId="68" xfId="0" applyFill="1" applyBorder="1"/>
    <xf numFmtId="0" fontId="0" fillId="5" borderId="59" xfId="0" applyFill="1" applyBorder="1"/>
    <xf numFmtId="0" fontId="2" fillId="5" borderId="67" xfId="0" applyFont="1" applyFill="1" applyBorder="1" applyAlignment="1">
      <alignment horizontal="center" vertical="center"/>
    </xf>
    <xf numFmtId="0" fontId="0" fillId="5" borderId="67" xfId="0" applyFill="1" applyBorder="1" applyAlignment="1">
      <alignment vertical="center"/>
    </xf>
    <xf numFmtId="0" fontId="0" fillId="5" borderId="57" xfId="0" applyFill="1" applyBorder="1" applyAlignment="1">
      <alignment vertical="center"/>
    </xf>
    <xf numFmtId="0" fontId="0" fillId="5" borderId="57" xfId="0" applyFill="1" applyBorder="1"/>
    <xf numFmtId="0" fontId="0" fillId="5" borderId="65" xfId="0" applyFill="1" applyBorder="1"/>
    <xf numFmtId="0" fontId="15" fillId="8" borderId="0" xfId="0" applyFont="1" applyFill="1" applyBorder="1" applyAlignment="1">
      <alignment horizontal="center" vertical="center"/>
    </xf>
    <xf numFmtId="0" fontId="0" fillId="8" borderId="0" xfId="0" applyFill="1" applyBorder="1" applyAlignment="1">
      <alignment vertical="center"/>
    </xf>
    <xf numFmtId="0" fontId="14" fillId="4" borderId="0" xfId="0" applyFont="1" applyFill="1" applyBorder="1" applyAlignment="1">
      <alignment vertical="center"/>
    </xf>
    <xf numFmtId="0" fontId="0" fillId="8" borderId="68" xfId="0" applyFill="1" applyBorder="1"/>
    <xf numFmtId="0" fontId="0" fillId="8" borderId="59" xfId="0" applyFill="1" applyBorder="1"/>
    <xf numFmtId="0" fontId="0" fillId="8" borderId="67" xfId="0" applyFill="1" applyBorder="1"/>
    <xf numFmtId="0" fontId="0" fillId="8" borderId="67" xfId="0" applyFill="1" applyBorder="1" applyAlignment="1">
      <alignment vertical="center"/>
    </xf>
    <xf numFmtId="0" fontId="0" fillId="8" borderId="65" xfId="0" applyFill="1" applyBorder="1"/>
    <xf numFmtId="0" fontId="0" fillId="8" borderId="56" xfId="0" applyFill="1" applyBorder="1"/>
    <xf numFmtId="0" fontId="14" fillId="4" borderId="68" xfId="0" applyFont="1" applyFill="1" applyBorder="1" applyAlignment="1">
      <alignment vertical="center"/>
    </xf>
    <xf numFmtId="0" fontId="13" fillId="4" borderId="59" xfId="0" applyFont="1" applyFill="1" applyBorder="1" applyAlignment="1">
      <alignment vertical="center"/>
    </xf>
    <xf numFmtId="0" fontId="8" fillId="4" borderId="59" xfId="0" applyFont="1" applyFill="1" applyBorder="1" applyAlignment="1">
      <alignment vertical="center"/>
    </xf>
    <xf numFmtId="0" fontId="0" fillId="4" borderId="59" xfId="0" applyFill="1" applyBorder="1"/>
    <xf numFmtId="0" fontId="12" fillId="4" borderId="59" xfId="0" applyFont="1" applyFill="1" applyBorder="1"/>
    <xf numFmtId="0" fontId="7" fillId="8" borderId="59" xfId="0" applyFont="1" applyFill="1" applyBorder="1" applyAlignment="1">
      <alignment horizontal="center"/>
    </xf>
    <xf numFmtId="0" fontId="0" fillId="5" borderId="56" xfId="0" applyFill="1" applyBorder="1"/>
    <xf numFmtId="0" fontId="14" fillId="4" borderId="67" xfId="0" applyFont="1" applyFill="1" applyBorder="1" applyAlignment="1">
      <alignment vertical="center"/>
    </xf>
    <xf numFmtId="0" fontId="13" fillId="4" borderId="0" xfId="0" applyFont="1" applyFill="1" applyBorder="1" applyAlignment="1">
      <alignment vertical="center"/>
    </xf>
    <xf numFmtId="0" fontId="8" fillId="4" borderId="0" xfId="0" applyFont="1" applyFill="1" applyBorder="1" applyAlignment="1">
      <alignment vertical="center"/>
    </xf>
    <xf numFmtId="0" fontId="0" fillId="4" borderId="0" xfId="0" applyFill="1" applyBorder="1"/>
    <xf numFmtId="0" fontId="7" fillId="5" borderId="68" xfId="0" applyFont="1" applyFill="1" applyBorder="1"/>
    <xf numFmtId="0" fontId="7" fillId="5" borderId="59" xfId="0" applyFont="1" applyFill="1" applyBorder="1"/>
    <xf numFmtId="0" fontId="7" fillId="5" borderId="69" xfId="0" applyFont="1" applyFill="1" applyBorder="1"/>
    <xf numFmtId="0" fontId="7" fillId="5" borderId="67" xfId="0" applyFont="1" applyFill="1" applyBorder="1"/>
    <xf numFmtId="0" fontId="7" fillId="5" borderId="0" xfId="0" applyFont="1" applyFill="1" applyBorder="1"/>
    <xf numFmtId="0" fontId="0" fillId="8" borderId="0" xfId="0" applyFill="1" applyBorder="1" applyAlignment="1">
      <alignment wrapText="1"/>
    </xf>
    <xf numFmtId="0" fontId="0" fillId="8" borderId="0" xfId="0" applyFill="1" applyBorder="1" applyAlignment="1">
      <alignment vertical="center" wrapText="1"/>
    </xf>
    <xf numFmtId="0" fontId="7" fillId="8" borderId="0" xfId="0" applyFont="1" applyFill="1" applyBorder="1" applyAlignment="1">
      <alignment vertical="center"/>
    </xf>
    <xf numFmtId="0" fontId="0" fillId="8" borderId="0" xfId="0" applyFill="1" applyBorder="1" applyAlignment="1">
      <alignment horizontal="left" vertical="center" wrapText="1"/>
    </xf>
    <xf numFmtId="0" fontId="0" fillId="5" borderId="0" xfId="0" applyFill="1" applyBorder="1" applyAlignment="1">
      <alignment horizontal="center"/>
    </xf>
    <xf numFmtId="0" fontId="9" fillId="6" borderId="58" xfId="0" applyFont="1" applyFill="1" applyBorder="1" applyAlignment="1">
      <alignment horizontal="center" vertical="center"/>
    </xf>
    <xf numFmtId="0" fontId="15" fillId="8" borderId="1" xfId="0" applyFont="1" applyFill="1" applyBorder="1" applyAlignment="1">
      <alignment horizontal="center" vertical="center"/>
    </xf>
    <xf numFmtId="0" fontId="0" fillId="8" borderId="0" xfId="0" applyFill="1" applyBorder="1" applyAlignment="1"/>
    <xf numFmtId="0" fontId="7" fillId="8" borderId="67" xfId="0" applyFont="1" applyFill="1" applyBorder="1" applyAlignment="1">
      <alignment vertical="center"/>
    </xf>
    <xf numFmtId="0" fontId="0" fillId="8" borderId="0" xfId="0" applyFont="1" applyFill="1" applyBorder="1" applyAlignment="1">
      <alignment vertical="center"/>
    </xf>
    <xf numFmtId="0" fontId="8" fillId="8" borderId="0" xfId="0" applyFont="1" applyFill="1" applyBorder="1" applyAlignment="1">
      <alignment vertical="center"/>
    </xf>
    <xf numFmtId="0" fontId="7" fillId="8" borderId="0" xfId="0" applyFont="1" applyFill="1" applyBorder="1"/>
    <xf numFmtId="0" fontId="0" fillId="8" borderId="0" xfId="0" applyFill="1" applyBorder="1" applyAlignment="1">
      <alignment vertical="top"/>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0" fillId="5" borderId="69" xfId="0" applyFill="1" applyBorder="1"/>
    <xf numFmtId="0" fontId="0" fillId="5" borderId="66" xfId="0" applyFill="1" applyBorder="1"/>
    <xf numFmtId="0" fontId="7" fillId="5"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7" fillId="7" borderId="1" xfId="0" applyFont="1" applyFill="1" applyBorder="1" applyAlignment="1">
      <alignment horizontal="right" vertical="center" wrapText="1"/>
    </xf>
    <xf numFmtId="0" fontId="0" fillId="5" borderId="0" xfId="0" applyFill="1" applyBorder="1" applyAlignment="1">
      <alignment wrapText="1"/>
    </xf>
    <xf numFmtId="0" fontId="0" fillId="5" borderId="0" xfId="0" applyFill="1" applyBorder="1" applyAlignment="1">
      <alignment horizontal="left" vertical="top" wrapText="1"/>
    </xf>
    <xf numFmtId="0" fontId="7" fillId="5" borderId="60" xfId="0" applyFont="1" applyFill="1" applyBorder="1" applyAlignment="1">
      <alignment horizontal="center" vertical="center" wrapText="1"/>
    </xf>
    <xf numFmtId="0" fontId="0" fillId="5" borderId="0" xfId="0" applyFill="1" applyBorder="1" applyAlignment="1">
      <alignment horizontal="left" wrapText="1"/>
    </xf>
    <xf numFmtId="0" fontId="16" fillId="5" borderId="0" xfId="0" applyFont="1" applyFill="1"/>
    <xf numFmtId="0" fontId="7" fillId="8" borderId="68" xfId="0" applyFont="1" applyFill="1" applyBorder="1" applyAlignment="1">
      <alignment vertical="center"/>
    </xf>
    <xf numFmtId="0" fontId="7" fillId="8" borderId="59" xfId="0" applyFont="1" applyFill="1" applyBorder="1" applyAlignment="1">
      <alignment vertical="center"/>
    </xf>
    <xf numFmtId="0" fontId="14" fillId="4" borderId="62" xfId="0" applyFont="1" applyFill="1" applyBorder="1" applyAlignment="1">
      <alignment vertical="center"/>
    </xf>
    <xf numFmtId="0" fontId="13" fillId="4" borderId="63" xfId="0" applyFont="1" applyFill="1" applyBorder="1" applyAlignment="1">
      <alignment vertical="center"/>
    </xf>
    <xf numFmtId="0" fontId="8" fillId="4" borderId="63" xfId="0" applyFont="1" applyFill="1" applyBorder="1" applyAlignment="1">
      <alignment vertical="center"/>
    </xf>
    <xf numFmtId="0" fontId="0" fillId="4" borderId="63" xfId="0" applyFill="1" applyBorder="1"/>
    <xf numFmtId="0" fontId="0" fillId="4" borderId="64" xfId="0" applyFill="1" applyBorder="1"/>
    <xf numFmtId="0" fontId="7" fillId="6" borderId="57" xfId="0" applyFont="1" applyFill="1" applyBorder="1" applyAlignment="1">
      <alignment horizontal="center" vertical="center"/>
    </xf>
    <xf numFmtId="0" fontId="0" fillId="5" borderId="1" xfId="0" applyFill="1" applyBorder="1" applyAlignment="1">
      <alignment horizontal="center" vertical="center"/>
    </xf>
    <xf numFmtId="0" fontId="0" fillId="5" borderId="66" xfId="0" applyFill="1" applyBorder="1" applyAlignment="1">
      <alignment horizontal="center" vertical="center"/>
    </xf>
    <xf numFmtId="0" fontId="0" fillId="5" borderId="0" xfId="0" applyFill="1" applyAlignment="1">
      <alignment horizontal="center" vertical="center"/>
    </xf>
    <xf numFmtId="0" fontId="0" fillId="8" borderId="59" xfId="0" applyFill="1" applyBorder="1" applyAlignment="1"/>
    <xf numFmtId="0" fontId="0" fillId="8" borderId="69" xfId="0" applyFill="1" applyBorder="1"/>
    <xf numFmtId="0" fontId="0" fillId="8" borderId="57" xfId="0" applyFill="1" applyBorder="1"/>
    <xf numFmtId="0" fontId="0" fillId="8" borderId="56" xfId="0" applyFill="1" applyBorder="1" applyAlignment="1"/>
    <xf numFmtId="0" fontId="0" fillId="8" borderId="56" xfId="0" applyFill="1" applyBorder="1" applyAlignment="1">
      <alignment wrapText="1"/>
    </xf>
    <xf numFmtId="0" fontId="0" fillId="8" borderId="66" xfId="0" applyFill="1" applyBorder="1"/>
    <xf numFmtId="0" fontId="8" fillId="8" borderId="59" xfId="0" applyFont="1" applyFill="1" applyBorder="1" applyAlignment="1">
      <alignment vertical="center"/>
    </xf>
    <xf numFmtId="0" fontId="0" fillId="5" borderId="59" xfId="0" applyFill="1" applyBorder="1" applyAlignment="1">
      <alignment horizontal="center" vertical="center"/>
    </xf>
    <xf numFmtId="0" fontId="3" fillId="4" borderId="59" xfId="0" applyFont="1" applyFill="1" applyBorder="1" applyAlignment="1">
      <alignment vertical="center"/>
    </xf>
    <xf numFmtId="0" fontId="0" fillId="0" borderId="0" xfId="0" applyBorder="1"/>
    <xf numFmtId="0" fontId="0" fillId="5" borderId="0" xfId="0" applyFill="1" applyBorder="1" applyAlignment="1"/>
    <xf numFmtId="0" fontId="0" fillId="5" borderId="0" xfId="0" applyFill="1" applyAlignment="1">
      <alignment wrapText="1"/>
    </xf>
    <xf numFmtId="0" fontId="0" fillId="8" borderId="0" xfId="0" applyFill="1" applyBorder="1" applyAlignment="1">
      <alignment wrapText="1"/>
    </xf>
    <xf numFmtId="0" fontId="7" fillId="5" borderId="1" xfId="0" applyFont="1" applyFill="1" applyBorder="1" applyAlignment="1">
      <alignment horizontal="center" vertical="center"/>
    </xf>
    <xf numFmtId="0" fontId="0" fillId="2" borderId="6" xfId="0" applyFill="1" applyBorder="1" applyAlignment="1" applyProtection="1">
      <alignment horizontal="center" vertical="center"/>
      <protection locked="0"/>
    </xf>
    <xf numFmtId="2" fontId="0" fillId="2" borderId="6" xfId="0" applyNumberFormat="1" applyFill="1" applyBorder="1" applyAlignment="1" applyProtection="1">
      <alignment horizontal="center" vertical="center"/>
    </xf>
    <xf numFmtId="0" fontId="0" fillId="2" borderId="6" xfId="0" applyNumberFormat="1" applyFill="1" applyBorder="1" applyAlignment="1" applyProtection="1">
      <alignment horizontal="center" vertical="center"/>
      <protection locked="0"/>
    </xf>
    <xf numFmtId="0" fontId="0" fillId="2" borderId="6" xfId="2" applyNumberFormat="1" applyFont="1" applyFill="1" applyBorder="1" applyAlignment="1" applyProtection="1">
      <alignment horizontal="center" vertical="center"/>
      <protection locked="0"/>
    </xf>
    <xf numFmtId="0" fontId="9" fillId="4" borderId="62" xfId="0" applyFont="1" applyFill="1" applyBorder="1" applyAlignment="1" applyProtection="1">
      <alignment horizontal="center" vertical="center"/>
    </xf>
    <xf numFmtId="0" fontId="9" fillId="4" borderId="69" xfId="0" applyFont="1" applyFill="1" applyBorder="1" applyAlignment="1" applyProtection="1">
      <alignment horizontal="center" vertical="center"/>
    </xf>
    <xf numFmtId="0" fontId="7" fillId="3" borderId="65" xfId="0" applyFont="1" applyFill="1" applyBorder="1" applyAlignment="1" applyProtection="1">
      <alignment horizontal="right"/>
    </xf>
    <xf numFmtId="0" fontId="7" fillId="3" borderId="62" xfId="0" applyFont="1" applyFill="1" applyBorder="1" applyAlignment="1" applyProtection="1">
      <alignment horizontal="right"/>
    </xf>
    <xf numFmtId="0" fontId="9" fillId="5" borderId="67" xfId="0" applyFont="1" applyFill="1" applyBorder="1" applyAlignment="1" applyProtection="1">
      <alignment vertical="center"/>
    </xf>
    <xf numFmtId="0" fontId="5" fillId="5" borderId="0" xfId="0" applyFont="1" applyFill="1" applyAlignment="1">
      <alignment horizontal="left" vertical="center" indent="1"/>
    </xf>
    <xf numFmtId="0" fontId="15" fillId="5" borderId="56" xfId="0" applyFont="1" applyFill="1" applyBorder="1"/>
    <xf numFmtId="0" fontId="7" fillId="5" borderId="0" xfId="0" applyFont="1" applyFill="1" applyAlignment="1"/>
    <xf numFmtId="0" fontId="0" fillId="5" borderId="0" xfId="0" applyFill="1" applyAlignment="1"/>
    <xf numFmtId="0" fontId="7" fillId="5" borderId="56" xfId="0" applyFont="1" applyFill="1" applyBorder="1"/>
    <xf numFmtId="0" fontId="7" fillId="5" borderId="0" xfId="0" applyFont="1" applyFill="1"/>
    <xf numFmtId="0" fontId="0" fillId="5" borderId="0" xfId="0" applyFill="1" applyAlignment="1">
      <alignment horizontal="right" vertical="top"/>
    </xf>
    <xf numFmtId="0" fontId="0" fillId="5" borderId="0" xfId="0" applyFill="1" applyAlignment="1">
      <alignment horizontal="right" vertical="top" wrapText="1"/>
    </xf>
    <xf numFmtId="0" fontId="7" fillId="5" borderId="1" xfId="0" applyFont="1" applyFill="1" applyBorder="1" applyAlignment="1">
      <alignment horizontal="center" wrapText="1"/>
    </xf>
    <xf numFmtId="0" fontId="0" fillId="5" borderId="1" xfId="0" applyFill="1" applyBorder="1" applyAlignment="1">
      <alignment horizontal="center"/>
    </xf>
    <xf numFmtId="0" fontId="7" fillId="5" borderId="1" xfId="0" applyFont="1" applyFill="1" applyBorder="1" applyAlignment="1">
      <alignment horizontal="center"/>
    </xf>
    <xf numFmtId="0" fontId="0" fillId="5" borderId="0" xfId="0" applyFill="1" applyAlignment="1">
      <alignment horizontal="right"/>
    </xf>
    <xf numFmtId="0" fontId="7" fillId="5" borderId="0" xfId="0" applyFont="1" applyFill="1" applyAlignment="1">
      <alignment horizontal="left" vertical="center" indent="1"/>
    </xf>
    <xf numFmtId="0" fontId="2" fillId="5" borderId="14"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0" fillId="5" borderId="3" xfId="0" applyFont="1" applyFill="1" applyBorder="1" applyAlignment="1">
      <alignment horizontal="left" vertical="center" wrapText="1"/>
    </xf>
    <xf numFmtId="0" fontId="7" fillId="5" borderId="5"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3" xfId="0" applyFont="1" applyFill="1" applyBorder="1" applyAlignment="1">
      <alignment vertical="top" textRotation="90" wrapText="1"/>
    </xf>
    <xf numFmtId="0" fontId="0" fillId="5" borderId="2" xfId="0" applyFont="1" applyFill="1" applyBorder="1" applyAlignment="1">
      <alignment horizontal="left" vertical="center" textRotation="90" wrapText="1"/>
    </xf>
    <xf numFmtId="0" fontId="0" fillId="5" borderId="4" xfId="0" applyFont="1" applyFill="1" applyBorder="1" applyAlignment="1">
      <alignment horizontal="left" vertical="center" textRotation="90" wrapText="1"/>
    </xf>
    <xf numFmtId="0" fontId="0" fillId="5" borderId="2" xfId="0" applyFont="1" applyFill="1" applyBorder="1" applyAlignment="1">
      <alignment vertical="top" textRotation="90" wrapText="1"/>
    </xf>
    <xf numFmtId="0" fontId="0" fillId="5" borderId="31" xfId="0" applyFont="1" applyFill="1" applyBorder="1" applyAlignment="1">
      <alignment horizontal="right" vertical="center" wrapText="1"/>
    </xf>
    <xf numFmtId="0" fontId="0" fillId="5" borderId="37" xfId="0" applyFont="1" applyFill="1" applyBorder="1" applyAlignment="1">
      <alignment horizontal="right" vertical="center" wrapText="1"/>
    </xf>
    <xf numFmtId="0" fontId="0" fillId="5" borderId="40" xfId="0" applyFont="1" applyFill="1" applyBorder="1" applyAlignment="1">
      <alignment horizontal="left" vertical="center" wrapText="1"/>
    </xf>
    <xf numFmtId="0" fontId="0" fillId="5" borderId="23" xfId="0" applyFont="1" applyFill="1" applyBorder="1" applyAlignment="1">
      <alignment horizontal="right" vertical="center" wrapText="1"/>
    </xf>
    <xf numFmtId="0" fontId="0" fillId="5" borderId="24" xfId="0" applyFont="1" applyFill="1" applyBorder="1" applyAlignment="1">
      <alignment horizontal="right" vertical="center" wrapText="1"/>
    </xf>
    <xf numFmtId="0" fontId="0" fillId="5" borderId="25" xfId="0" applyFont="1" applyFill="1" applyBorder="1" applyAlignment="1">
      <alignment horizontal="right" vertical="center" wrapText="1"/>
    </xf>
    <xf numFmtId="0" fontId="0" fillId="5" borderId="34" xfId="0" applyFont="1" applyFill="1" applyBorder="1" applyAlignment="1">
      <alignment horizontal="right" vertical="center" wrapText="1"/>
    </xf>
    <xf numFmtId="0" fontId="0" fillId="5" borderId="45" xfId="0" applyFont="1" applyFill="1" applyBorder="1" applyAlignment="1">
      <alignment horizontal="right" vertical="center" wrapText="1"/>
    </xf>
    <xf numFmtId="0" fontId="0" fillId="5" borderId="32" xfId="0" applyFont="1" applyFill="1" applyBorder="1" applyAlignment="1">
      <alignment horizontal="right" vertical="center" wrapText="1"/>
    </xf>
    <xf numFmtId="0" fontId="0" fillId="5" borderId="38" xfId="0" applyFont="1" applyFill="1" applyBorder="1" applyAlignment="1">
      <alignment horizontal="right" vertical="center" wrapText="1"/>
    </xf>
    <xf numFmtId="0" fontId="0" fillId="5" borderId="41" xfId="0" applyFont="1" applyFill="1" applyBorder="1" applyAlignment="1">
      <alignment horizontal="left" vertical="center" wrapText="1"/>
    </xf>
    <xf numFmtId="0" fontId="0" fillId="5" borderId="26" xfId="0" applyFont="1" applyFill="1" applyBorder="1" applyAlignment="1">
      <alignment horizontal="right" vertical="center" wrapText="1"/>
    </xf>
    <xf numFmtId="0" fontId="0" fillId="5" borderId="6" xfId="0" applyFont="1" applyFill="1" applyBorder="1" applyAlignment="1">
      <alignment horizontal="right" vertical="center" wrapText="1"/>
    </xf>
    <xf numFmtId="0" fontId="0" fillId="5" borderId="27" xfId="0" applyFont="1" applyFill="1" applyBorder="1" applyAlignment="1">
      <alignment horizontal="right" vertical="center" wrapText="1"/>
    </xf>
    <xf numFmtId="0" fontId="0" fillId="5" borderId="35" xfId="0" applyFont="1" applyFill="1" applyBorder="1" applyAlignment="1">
      <alignment horizontal="right" vertical="center" wrapText="1"/>
    </xf>
    <xf numFmtId="0" fontId="0" fillId="5" borderId="46" xfId="0" applyFont="1" applyFill="1" applyBorder="1" applyAlignment="1">
      <alignment horizontal="right" vertical="center" wrapText="1"/>
    </xf>
    <xf numFmtId="0" fontId="0" fillId="5" borderId="35" xfId="0" applyFont="1" applyFill="1" applyBorder="1" applyAlignment="1">
      <alignment horizontal="left" vertical="center" wrapText="1"/>
    </xf>
    <xf numFmtId="0" fontId="0" fillId="5" borderId="6" xfId="0" applyFont="1" applyFill="1" applyBorder="1" applyAlignment="1">
      <alignment horizontal="left" vertical="center" wrapText="1"/>
    </xf>
    <xf numFmtId="0" fontId="0" fillId="5" borderId="32" xfId="0" applyFont="1" applyFill="1" applyBorder="1" applyAlignment="1">
      <alignment vertical="center" wrapText="1"/>
    </xf>
    <xf numFmtId="0" fontId="0" fillId="5" borderId="41" xfId="0" applyFont="1" applyFill="1" applyBorder="1" applyAlignment="1">
      <alignment vertical="center" wrapText="1"/>
    </xf>
    <xf numFmtId="0" fontId="0" fillId="5" borderId="33" xfId="0" applyFont="1" applyFill="1" applyBorder="1" applyAlignment="1">
      <alignment horizontal="right" vertical="center" wrapText="1"/>
    </xf>
    <xf numFmtId="0" fontId="0" fillId="5" borderId="39" xfId="0" applyFont="1" applyFill="1" applyBorder="1" applyAlignment="1">
      <alignment horizontal="right" vertical="center" wrapText="1"/>
    </xf>
    <xf numFmtId="0" fontId="0" fillId="5" borderId="42" xfId="0" applyFont="1" applyFill="1" applyBorder="1" applyAlignment="1">
      <alignment horizontal="left" vertical="center" wrapText="1"/>
    </xf>
    <xf numFmtId="0" fontId="0" fillId="5" borderId="28" xfId="0" applyFont="1" applyFill="1" applyBorder="1" applyAlignment="1">
      <alignment horizontal="right" vertical="center" wrapText="1"/>
    </xf>
    <xf numFmtId="0" fontId="0" fillId="5" borderId="29" xfId="0" applyFont="1" applyFill="1" applyBorder="1" applyAlignment="1">
      <alignment horizontal="right" vertical="center" wrapText="1"/>
    </xf>
    <xf numFmtId="0" fontId="0" fillId="5" borderId="30" xfId="0" applyFont="1" applyFill="1" applyBorder="1" applyAlignment="1">
      <alignment horizontal="right" vertical="center" wrapText="1"/>
    </xf>
    <xf numFmtId="0" fontId="0" fillId="5" borderId="36" xfId="0" applyFont="1" applyFill="1" applyBorder="1" applyAlignment="1">
      <alignment horizontal="right" vertical="center" wrapText="1"/>
    </xf>
    <xf numFmtId="0" fontId="0" fillId="5" borderId="47" xfId="0" applyFont="1" applyFill="1" applyBorder="1" applyAlignment="1">
      <alignment horizontal="right" vertical="center" wrapText="1"/>
    </xf>
    <xf numFmtId="0" fontId="0" fillId="5" borderId="26" xfId="0" applyFont="1" applyFill="1" applyBorder="1" applyAlignment="1">
      <alignment horizontal="left" vertical="center" wrapText="1"/>
    </xf>
    <xf numFmtId="11" fontId="0" fillId="5" borderId="27" xfId="0" applyNumberFormat="1" applyFont="1" applyFill="1" applyBorder="1" applyAlignment="1">
      <alignment horizontal="right" vertical="center" wrapText="1"/>
    </xf>
    <xf numFmtId="0" fontId="0" fillId="5" borderId="36" xfId="0" applyFont="1" applyFill="1" applyBorder="1" applyAlignment="1">
      <alignment horizontal="left" vertical="center" wrapText="1"/>
    </xf>
    <xf numFmtId="0" fontId="0" fillId="5" borderId="29" xfId="0" applyFont="1" applyFill="1" applyBorder="1" applyAlignment="1">
      <alignment horizontal="left" vertical="center" wrapText="1"/>
    </xf>
    <xf numFmtId="0" fontId="0" fillId="5" borderId="25" xfId="0" applyFont="1" applyFill="1" applyBorder="1" applyAlignment="1">
      <alignment horizontal="center" vertical="center" wrapText="1"/>
    </xf>
    <xf numFmtId="0" fontId="0" fillId="5" borderId="27" xfId="0" applyFont="1" applyFill="1" applyBorder="1" applyAlignment="1">
      <alignment horizontal="center" vertical="center" wrapText="1"/>
    </xf>
    <xf numFmtId="0" fontId="0" fillId="5" borderId="30" xfId="0" applyFont="1" applyFill="1" applyBorder="1" applyAlignment="1">
      <alignment horizontal="center" vertical="center" wrapText="1"/>
    </xf>
    <xf numFmtId="0" fontId="0" fillId="5" borderId="28" xfId="0" applyFont="1" applyFill="1" applyBorder="1" applyAlignment="1">
      <alignment horizontal="left" vertical="center" wrapText="1"/>
    </xf>
    <xf numFmtId="0" fontId="0" fillId="5" borderId="30" xfId="0" applyFont="1" applyFill="1" applyBorder="1" applyAlignment="1">
      <alignment horizontal="left" vertical="center" wrapText="1"/>
    </xf>
    <xf numFmtId="0" fontId="0" fillId="2" borderId="1" xfId="0" applyFill="1" applyBorder="1" applyAlignment="1" applyProtection="1">
      <protection locked="0"/>
    </xf>
    <xf numFmtId="0" fontId="14" fillId="4" borderId="6" xfId="0" applyFont="1" applyFill="1" applyBorder="1" applyAlignment="1" applyProtection="1">
      <alignment horizontal="right" vertical="center"/>
      <protection locked="0"/>
    </xf>
    <xf numFmtId="0" fontId="0" fillId="5" borderId="8" xfId="0" applyFill="1" applyBorder="1" applyProtection="1"/>
    <xf numFmtId="0" fontId="0" fillId="0" borderId="8" xfId="0" applyBorder="1" applyProtection="1"/>
    <xf numFmtId="2" fontId="0" fillId="5" borderId="8" xfId="0" applyNumberFormat="1" applyFill="1" applyBorder="1" applyProtection="1"/>
    <xf numFmtId="0" fontId="3" fillId="4" borderId="6" xfId="0" applyFont="1" applyFill="1" applyBorder="1" applyAlignment="1" applyProtection="1">
      <alignment horizontal="center" vertical="center"/>
    </xf>
    <xf numFmtId="0" fontId="7" fillId="7" borderId="6" xfId="0" applyFont="1" applyFill="1" applyBorder="1" applyAlignment="1" applyProtection="1">
      <alignment horizontal="center" vertical="center"/>
    </xf>
    <xf numFmtId="2" fontId="2" fillId="7" borderId="6" xfId="0" applyNumberFormat="1" applyFont="1" applyFill="1" applyBorder="1" applyAlignment="1" applyProtection="1">
      <alignment horizontal="center" vertical="center"/>
    </xf>
    <xf numFmtId="0" fontId="9" fillId="4" borderId="9" xfId="0" applyFont="1" applyFill="1" applyBorder="1" applyAlignment="1" applyProtection="1">
      <alignment horizontal="left" vertical="center"/>
    </xf>
    <xf numFmtId="0" fontId="9" fillId="4" borderId="6" xfId="0" applyFont="1" applyFill="1" applyBorder="1" applyAlignment="1" applyProtection="1">
      <alignment horizontal="left" vertical="center"/>
    </xf>
    <xf numFmtId="2" fontId="4" fillId="3" borderId="6" xfId="0" applyNumberFormat="1" applyFont="1" applyFill="1" applyBorder="1" applyAlignment="1" applyProtection="1">
      <alignment vertical="center"/>
    </xf>
    <xf numFmtId="0" fontId="2" fillId="3" borderId="6" xfId="0" applyFont="1" applyFill="1" applyBorder="1" applyAlignment="1" applyProtection="1">
      <alignment vertical="center"/>
    </xf>
    <xf numFmtId="0" fontId="0" fillId="8" borderId="0" xfId="0" applyFill="1" applyBorder="1" applyAlignment="1" applyProtection="1">
      <alignment horizontal="left" wrapText="1"/>
    </xf>
    <xf numFmtId="0" fontId="0" fillId="8" borderId="0" xfId="0" applyFill="1" applyBorder="1" applyProtection="1"/>
    <xf numFmtId="0" fontId="0" fillId="8" borderId="0" xfId="0" applyFill="1" applyBorder="1" applyAlignment="1" applyProtection="1">
      <alignment vertical="center"/>
    </xf>
    <xf numFmtId="2" fontId="4" fillId="8" borderId="0" xfId="0" applyNumberFormat="1" applyFont="1" applyFill="1" applyBorder="1" applyAlignment="1" applyProtection="1">
      <alignment vertical="center"/>
    </xf>
    <xf numFmtId="0" fontId="2" fillId="8" borderId="0" xfId="0" applyFont="1" applyFill="1" applyBorder="1" applyAlignment="1" applyProtection="1">
      <alignment vertical="center"/>
    </xf>
    <xf numFmtId="0" fontId="0" fillId="8" borderId="56" xfId="0" applyFill="1" applyBorder="1" applyProtection="1"/>
    <xf numFmtId="0" fontId="0" fillId="8" borderId="59" xfId="0" applyFill="1" applyBorder="1" applyProtection="1"/>
    <xf numFmtId="0" fontId="0" fillId="8" borderId="59" xfId="0" applyFill="1" applyBorder="1" applyAlignment="1" applyProtection="1">
      <alignment horizontal="center" vertical="center"/>
      <protection locked="0"/>
    </xf>
    <xf numFmtId="0" fontId="0" fillId="8" borderId="0" xfId="0" applyFill="1" applyBorder="1" applyProtection="1">
      <protection locked="0"/>
    </xf>
    <xf numFmtId="0" fontId="0" fillId="8" borderId="0" xfId="0" applyFont="1" applyFill="1" applyBorder="1" applyAlignment="1" applyProtection="1">
      <alignment horizontal="center" vertical="center"/>
      <protection locked="0"/>
    </xf>
    <xf numFmtId="0" fontId="0" fillId="8" borderId="0" xfId="0" applyFill="1" applyBorder="1" applyAlignment="1" applyProtection="1">
      <alignment vertical="center"/>
      <protection locked="0"/>
    </xf>
    <xf numFmtId="0" fontId="2" fillId="8" borderId="0" xfId="0" applyFont="1" applyFill="1" applyBorder="1" applyAlignment="1" applyProtection="1">
      <alignment horizontal="center" vertical="center"/>
      <protection locked="0"/>
    </xf>
    <xf numFmtId="0" fontId="0" fillId="8" borderId="0" xfId="0" applyFill="1" applyProtection="1">
      <protection locked="0"/>
    </xf>
    <xf numFmtId="0" fontId="0" fillId="5" borderId="0" xfId="0" applyFill="1" applyBorder="1" applyAlignment="1" applyProtection="1">
      <alignment horizontal="center"/>
      <protection locked="0"/>
    </xf>
    <xf numFmtId="0" fontId="0" fillId="5" borderId="0" xfId="0" applyFill="1" applyBorder="1" applyAlignment="1" applyProtection="1">
      <alignment horizontal="center" vertical="center"/>
      <protection locked="0"/>
    </xf>
    <xf numFmtId="0" fontId="0" fillId="8" borderId="0" xfId="0"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xf>
    <xf numFmtId="0" fontId="0" fillId="2" borderId="6" xfId="0" applyFill="1" applyBorder="1" applyAlignment="1" applyProtection="1">
      <alignment horizontal="left"/>
      <protection locked="0"/>
    </xf>
    <xf numFmtId="0" fontId="0" fillId="2" borderId="6"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2" fillId="5" borderId="56" xfId="0" applyFont="1" applyFill="1" applyBorder="1" applyProtection="1"/>
    <xf numFmtId="0" fontId="8" fillId="4" borderId="6"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0" fillId="0" borderId="6" xfId="0" applyNumberFormat="1" applyBorder="1" applyProtection="1"/>
    <xf numFmtId="0" fontId="0" fillId="0" borderId="6" xfId="0" applyBorder="1" applyAlignment="1" applyProtection="1">
      <alignment horizontal="center" vertical="center"/>
    </xf>
    <xf numFmtId="0" fontId="0" fillId="0" borderId="0" xfId="0" applyProtection="1"/>
    <xf numFmtId="2" fontId="0" fillId="2" borderId="6" xfId="0" applyNumberFormat="1" applyFill="1" applyBorder="1" applyProtection="1">
      <protection locked="0"/>
    </xf>
    <xf numFmtId="0" fontId="0" fillId="5" borderId="67" xfId="0" applyFill="1" applyBorder="1" applyAlignment="1" applyProtection="1"/>
    <xf numFmtId="0" fontId="0" fillId="5" borderId="0" xfId="0" applyFill="1" applyAlignment="1" applyProtection="1">
      <alignment horizontal="center"/>
    </xf>
    <xf numFmtId="2" fontId="4" fillId="3" borderId="9" xfId="0" applyNumberFormat="1" applyFont="1" applyFill="1" applyBorder="1" applyAlignment="1" applyProtection="1">
      <alignment horizontal="center" vertical="center"/>
    </xf>
    <xf numFmtId="0" fontId="0" fillId="5" borderId="0" xfId="0" applyFill="1" applyAlignment="1" applyProtection="1">
      <alignment vertical="center"/>
    </xf>
    <xf numFmtId="0" fontId="0" fillId="5" borderId="0" xfId="0" applyFill="1" applyAlignment="1" applyProtection="1">
      <alignment horizontal="left" vertical="center"/>
    </xf>
    <xf numFmtId="0" fontId="9" fillId="4" borderId="0" xfId="0" applyFont="1" applyFill="1" applyAlignment="1" applyProtection="1">
      <alignment horizontal="center" vertical="center"/>
    </xf>
    <xf numFmtId="0" fontId="9" fillId="4" borderId="0" xfId="0" applyFont="1" applyFill="1" applyAlignment="1" applyProtection="1">
      <alignment horizontal="center" vertical="center" wrapText="1"/>
    </xf>
    <xf numFmtId="0" fontId="9" fillId="4" borderId="6" xfId="0" applyFont="1" applyFill="1" applyBorder="1" applyProtection="1"/>
    <xf numFmtId="0" fontId="7" fillId="7" borderId="6" xfId="0" applyFont="1" applyFill="1" applyBorder="1" applyProtection="1"/>
    <xf numFmtId="2" fontId="0" fillId="3" borderId="9" xfId="0" applyNumberFormat="1" applyFont="1" applyFill="1" applyBorder="1" applyAlignment="1" applyProtection="1">
      <alignment horizontal="center" vertical="center"/>
    </xf>
    <xf numFmtId="0" fontId="7" fillId="0" borderId="0" xfId="0" applyFont="1" applyFill="1" applyAlignment="1" applyProtection="1">
      <alignment horizontal="center" vertical="center" wrapText="1"/>
    </xf>
    <xf numFmtId="0" fontId="9" fillId="5" borderId="0" xfId="0" applyFont="1" applyFill="1" applyAlignment="1" applyProtection="1">
      <alignment horizontal="center" vertical="center"/>
    </xf>
    <xf numFmtId="0" fontId="7" fillId="5" borderId="1" xfId="0" applyFont="1" applyFill="1" applyBorder="1" applyAlignment="1">
      <alignment horizontal="center" vertical="center"/>
    </xf>
    <xf numFmtId="0" fontId="7" fillId="9" borderId="1" xfId="0" applyFont="1" applyFill="1" applyBorder="1" applyAlignment="1">
      <alignment horizontal="center" vertical="center"/>
    </xf>
    <xf numFmtId="2" fontId="0" fillId="2" borderId="6" xfId="0" applyNumberFormat="1" applyFill="1" applyBorder="1" applyAlignment="1" applyProtection="1">
      <alignment horizontal="center"/>
      <protection locked="0"/>
    </xf>
    <xf numFmtId="2" fontId="0" fillId="2" borderId="8" xfId="0" applyNumberFormat="1" applyFill="1" applyBorder="1" applyAlignment="1" applyProtection="1">
      <alignment horizontal="center"/>
      <protection locked="0"/>
    </xf>
    <xf numFmtId="2" fontId="6" fillId="3" borderId="7" xfId="0" applyNumberFormat="1" applyFont="1" applyFill="1" applyBorder="1" applyAlignment="1" applyProtection="1">
      <alignment horizontal="right"/>
    </xf>
    <xf numFmtId="165" fontId="0" fillId="2" borderId="6" xfId="0" applyNumberFormat="1" applyFill="1" applyBorder="1" applyProtection="1">
      <protection locked="0"/>
    </xf>
    <xf numFmtId="165" fontId="0" fillId="7" borderId="6" xfId="0" applyNumberFormat="1" applyFill="1" applyBorder="1" applyProtection="1"/>
    <xf numFmtId="165" fontId="0" fillId="7" borderId="6" xfId="0" applyNumberFormat="1" applyFill="1" applyBorder="1" applyAlignment="1" applyProtection="1">
      <alignment horizontal="left" vertical="center"/>
    </xf>
    <xf numFmtId="0" fontId="0" fillId="7" borderId="6" xfId="0" applyFill="1" applyBorder="1" applyAlignment="1">
      <alignment horizontal="left" vertical="center" wrapText="1"/>
    </xf>
    <xf numFmtId="165" fontId="0" fillId="5" borderId="6" xfId="0" applyNumberFormat="1" applyFill="1" applyBorder="1" applyAlignment="1" applyProtection="1">
      <alignment horizontal="left" vertical="center"/>
    </xf>
    <xf numFmtId="0" fontId="0" fillId="8" borderId="56" xfId="0" applyFill="1" applyBorder="1" applyProtection="1">
      <protection locked="0"/>
    </xf>
    <xf numFmtId="0" fontId="0" fillId="5" borderId="0" xfId="0" applyFill="1" applyAlignment="1" applyProtection="1">
      <alignment horizontal="right"/>
    </xf>
    <xf numFmtId="0" fontId="0" fillId="13" borderId="2" xfId="0" applyFill="1" applyBorder="1" applyAlignment="1" applyProtection="1">
      <alignment horizontal="center" vertical="center"/>
      <protection locked="0"/>
    </xf>
    <xf numFmtId="0" fontId="16" fillId="5" borderId="58" xfId="0" applyFont="1" applyFill="1" applyBorder="1" applyAlignment="1">
      <alignment horizontal="center" vertical="center"/>
    </xf>
    <xf numFmtId="0" fontId="0" fillId="5" borderId="58" xfId="0" applyFont="1" applyFill="1" applyBorder="1" applyAlignment="1">
      <alignment horizontal="center" vertical="center"/>
    </xf>
    <xf numFmtId="0" fontId="7" fillId="3" borderId="68" xfId="0" applyFont="1" applyFill="1" applyBorder="1" applyAlignment="1" applyProtection="1">
      <alignment horizontal="right" wrapText="1"/>
    </xf>
    <xf numFmtId="0" fontId="7" fillId="3" borderId="6" xfId="0" applyFont="1" applyFill="1" applyBorder="1" applyAlignment="1" applyProtection="1">
      <alignment horizontal="right"/>
    </xf>
    <xf numFmtId="0" fontId="7" fillId="3" borderId="1" xfId="0" applyFont="1" applyFill="1" applyBorder="1" applyAlignment="1" applyProtection="1">
      <alignment horizontal="center" vertical="center"/>
    </xf>
    <xf numFmtId="0" fontId="0" fillId="13" borderId="89" xfId="0"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xf>
    <xf numFmtId="0" fontId="0" fillId="13" borderId="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0" fillId="0" borderId="0" xfId="0" applyAlignment="1">
      <alignment horizontal="center" vertical="center"/>
    </xf>
    <xf numFmtId="0" fontId="0" fillId="2" borderId="6" xfId="0" applyFill="1" applyBorder="1" applyAlignment="1" applyProtection="1">
      <alignment horizontal="center" vertical="center"/>
      <protection locked="0"/>
    </xf>
    <xf numFmtId="0" fontId="0" fillId="12" borderId="0" xfId="0" applyFill="1" applyAlignment="1" applyProtection="1">
      <alignment horizontal="center" vertical="center"/>
    </xf>
    <xf numFmtId="0" fontId="0" fillId="12" borderId="70" xfId="0" applyFill="1" applyBorder="1" applyAlignment="1" applyProtection="1">
      <alignment horizontal="center" vertical="center"/>
    </xf>
    <xf numFmtId="0" fontId="0" fillId="12" borderId="0" xfId="0" applyFill="1" applyAlignment="1" applyProtection="1">
      <alignment vertical="center"/>
    </xf>
    <xf numFmtId="0" fontId="0" fillId="12" borderId="84" xfId="0" applyFill="1" applyBorder="1" applyAlignment="1" applyProtection="1">
      <alignment vertical="center"/>
    </xf>
    <xf numFmtId="0" fontId="0" fillId="12" borderId="2" xfId="0" applyFill="1" applyBorder="1" applyAlignment="1" applyProtection="1">
      <alignment vertical="center"/>
    </xf>
    <xf numFmtId="0" fontId="0" fillId="12" borderId="4" xfId="0" applyFill="1" applyBorder="1" applyAlignment="1" applyProtection="1">
      <alignment vertical="center"/>
    </xf>
    <xf numFmtId="0" fontId="0" fillId="12" borderId="0" xfId="0" applyFill="1" applyBorder="1" applyAlignment="1" applyProtection="1">
      <alignment vertical="center"/>
    </xf>
    <xf numFmtId="0" fontId="1" fillId="12" borderId="0" xfId="0" applyFont="1" applyFill="1" applyBorder="1" applyAlignment="1" applyProtection="1">
      <alignment vertical="center"/>
    </xf>
    <xf numFmtId="0" fontId="1" fillId="12" borderId="0" xfId="0" applyFont="1" applyFill="1" applyAlignment="1" applyProtection="1">
      <alignment vertical="center"/>
    </xf>
    <xf numFmtId="0" fontId="0" fillId="5" borderId="0" xfId="0" applyFill="1" applyAlignment="1" applyProtection="1">
      <alignment horizontal="center" vertical="center"/>
    </xf>
    <xf numFmtId="0" fontId="1" fillId="12" borderId="0" xfId="0" applyFont="1" applyFill="1" applyAlignment="1" applyProtection="1">
      <alignment horizontal="left" vertical="center"/>
    </xf>
    <xf numFmtId="0" fontId="0" fillId="12" borderId="0" xfId="0" applyFill="1" applyAlignment="1" applyProtection="1">
      <alignment horizontal="right" vertical="center"/>
    </xf>
    <xf numFmtId="0" fontId="1" fillId="12" borderId="0" xfId="0" applyFont="1" applyFill="1" applyBorder="1" applyAlignment="1" applyProtection="1">
      <alignment horizontal="right" vertical="center"/>
    </xf>
    <xf numFmtId="0" fontId="0" fillId="12" borderId="0" xfId="0" applyFill="1" applyAlignment="1" applyProtection="1">
      <alignment horizontal="left" vertical="center"/>
    </xf>
    <xf numFmtId="0" fontId="1" fillId="12" borderId="0" xfId="0" applyFont="1" applyFill="1" applyAlignment="1" applyProtection="1">
      <alignment horizontal="right" vertical="center"/>
    </xf>
    <xf numFmtId="0" fontId="17" fillId="12" borderId="0" xfId="0" applyFont="1" applyFill="1" applyAlignment="1" applyProtection="1">
      <alignment horizontal="center" vertical="center"/>
    </xf>
    <xf numFmtId="0" fontId="0" fillId="2" borderId="1" xfId="0" applyFill="1" applyBorder="1" applyAlignment="1" applyProtection="1">
      <alignment horizontal="center" vertical="center"/>
      <protection locked="0"/>
    </xf>
    <xf numFmtId="0" fontId="0" fillId="2" borderId="68" xfId="0" applyFill="1" applyBorder="1" applyAlignment="1" applyProtection="1">
      <alignment horizontal="center"/>
      <protection locked="0"/>
    </xf>
    <xf numFmtId="0" fontId="0" fillId="2" borderId="69" xfId="0" applyFill="1" applyBorder="1" applyAlignment="1" applyProtection="1">
      <alignment horizontal="center"/>
      <protection locked="0"/>
    </xf>
    <xf numFmtId="0" fontId="0" fillId="2" borderId="67" xfId="0" applyFill="1" applyBorder="1" applyAlignment="1" applyProtection="1">
      <alignment horizontal="center"/>
    </xf>
    <xf numFmtId="0" fontId="0" fillId="2" borderId="57" xfId="0" applyFill="1" applyBorder="1" applyAlignment="1" applyProtection="1">
      <alignment horizontal="center"/>
    </xf>
    <xf numFmtId="0" fontId="0" fillId="2" borderId="67" xfId="0" applyFill="1" applyBorder="1" applyAlignment="1" applyProtection="1">
      <alignment horizontal="center" wrapText="1"/>
    </xf>
    <xf numFmtId="0" fontId="0" fillId="2" borderId="57" xfId="0" applyFill="1" applyBorder="1" applyAlignment="1" applyProtection="1">
      <alignment horizontal="center" wrapText="1"/>
    </xf>
    <xf numFmtId="0" fontId="0" fillId="2" borderId="62" xfId="0" applyFill="1" applyBorder="1" applyAlignment="1" applyProtection="1">
      <alignment horizontal="center" vertical="center"/>
      <protection locked="0"/>
    </xf>
    <xf numFmtId="0" fontId="0" fillId="2" borderId="64" xfId="0"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xf>
    <xf numFmtId="0" fontId="0" fillId="2" borderId="87" xfId="0" applyFill="1" applyBorder="1" applyAlignment="1" applyProtection="1">
      <alignment horizontal="center"/>
      <protection locked="0"/>
    </xf>
    <xf numFmtId="0" fontId="0" fillId="2" borderId="88"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1" fillId="12" borderId="0" xfId="0" applyFont="1" applyFill="1" applyAlignment="1" applyProtection="1">
      <alignment horizontal="right" vertical="center"/>
    </xf>
    <xf numFmtId="0" fontId="0" fillId="12" borderId="0" xfId="0" applyFill="1" applyAlignment="1" applyProtection="1">
      <alignment horizontal="right" vertical="center"/>
    </xf>
    <xf numFmtId="0" fontId="0" fillId="13" borderId="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1" fillId="12" borderId="84" xfId="0" applyFont="1" applyFill="1" applyBorder="1" applyAlignment="1" applyProtection="1">
      <alignment horizontal="left" vertical="center"/>
    </xf>
    <xf numFmtId="0" fontId="1" fillId="12" borderId="2" xfId="0" applyFont="1" applyFill="1" applyBorder="1" applyAlignment="1" applyProtection="1">
      <alignment horizontal="left" vertical="center"/>
    </xf>
    <xf numFmtId="0" fontId="1" fillId="12" borderId="4" xfId="0" applyFont="1" applyFill="1" applyBorder="1" applyAlignment="1" applyProtection="1">
      <alignment horizontal="left" vertical="center"/>
    </xf>
    <xf numFmtId="0" fontId="0" fillId="13" borderId="78" xfId="0" applyFill="1" applyBorder="1" applyAlignment="1" applyProtection="1">
      <alignment horizontal="center" vertical="center"/>
      <protection locked="0"/>
    </xf>
    <xf numFmtId="0" fontId="0" fillId="13" borderId="79" xfId="0" applyFill="1" applyBorder="1" applyAlignment="1" applyProtection="1">
      <alignment horizontal="center" vertical="center"/>
      <protection locked="0"/>
    </xf>
    <xf numFmtId="0" fontId="0" fillId="13" borderId="80" xfId="0" applyFill="1" applyBorder="1" applyAlignment="1" applyProtection="1">
      <alignment horizontal="center" vertical="center"/>
      <protection locked="0"/>
    </xf>
    <xf numFmtId="0" fontId="0" fillId="13" borderId="85" xfId="0" applyFill="1" applyBorder="1" applyAlignment="1" applyProtection="1">
      <alignment horizontal="center" vertical="center"/>
      <protection locked="0"/>
    </xf>
    <xf numFmtId="0" fontId="0" fillId="13" borderId="0" xfId="0" applyFill="1" applyBorder="1" applyAlignment="1" applyProtection="1">
      <alignment horizontal="center" vertical="center"/>
      <protection locked="0"/>
    </xf>
    <xf numFmtId="0" fontId="0" fillId="13" borderId="86" xfId="0" applyFill="1" applyBorder="1" applyAlignment="1" applyProtection="1">
      <alignment horizontal="center" vertical="center"/>
      <protection locked="0"/>
    </xf>
    <xf numFmtId="0" fontId="0" fillId="13" borderId="81" xfId="0" applyFill="1" applyBorder="1" applyAlignment="1" applyProtection="1">
      <alignment horizontal="center" vertical="center"/>
      <protection locked="0"/>
    </xf>
    <xf numFmtId="0" fontId="0" fillId="13" borderId="82" xfId="0" applyFill="1" applyBorder="1" applyAlignment="1" applyProtection="1">
      <alignment horizontal="center" vertical="center"/>
      <protection locked="0"/>
    </xf>
    <xf numFmtId="0" fontId="0" fillId="13" borderId="83" xfId="0" applyFill="1" applyBorder="1" applyAlignment="1" applyProtection="1">
      <alignment horizontal="center" vertical="center"/>
      <protection locked="0"/>
    </xf>
    <xf numFmtId="0" fontId="0" fillId="13" borderId="3" xfId="0" applyFill="1" applyBorder="1" applyAlignment="1" applyProtection="1">
      <alignment horizontal="center" vertical="center" shrinkToFit="1"/>
      <protection locked="0"/>
    </xf>
    <xf numFmtId="0" fontId="0" fillId="13" borderId="2" xfId="0" applyFill="1" applyBorder="1" applyAlignment="1" applyProtection="1">
      <alignment horizontal="center" vertical="center" shrinkToFit="1"/>
      <protection locked="0"/>
    </xf>
    <xf numFmtId="0" fontId="0" fillId="13" borderId="4" xfId="0" applyFill="1" applyBorder="1" applyAlignment="1" applyProtection="1">
      <alignment horizontal="center" vertical="center" shrinkToFit="1"/>
      <protection locked="0"/>
    </xf>
    <xf numFmtId="0" fontId="0" fillId="10" borderId="72" xfId="0" applyFill="1" applyBorder="1" applyAlignment="1" applyProtection="1">
      <alignment horizontal="center"/>
      <protection locked="0"/>
    </xf>
    <xf numFmtId="0" fontId="0" fillId="10" borderId="73" xfId="0" applyFill="1" applyBorder="1" applyAlignment="1" applyProtection="1">
      <alignment horizontal="center"/>
      <protection locked="0"/>
    </xf>
    <xf numFmtId="0" fontId="0" fillId="10" borderId="74" xfId="0" applyFill="1" applyBorder="1" applyAlignment="1" applyProtection="1">
      <alignment horizontal="center"/>
      <protection locked="0"/>
    </xf>
    <xf numFmtId="0" fontId="0" fillId="10" borderId="70" xfId="0" applyFill="1" applyBorder="1" applyAlignment="1" applyProtection="1">
      <alignment horizontal="center"/>
      <protection locked="0"/>
    </xf>
    <xf numFmtId="0" fontId="0" fillId="10" borderId="0" xfId="0" applyFill="1" applyBorder="1" applyAlignment="1" applyProtection="1">
      <alignment horizontal="center"/>
      <protection locked="0"/>
    </xf>
    <xf numFmtId="0" fontId="0" fillId="10" borderId="71" xfId="0" applyFill="1" applyBorder="1" applyAlignment="1" applyProtection="1">
      <alignment horizontal="center"/>
      <protection locked="0"/>
    </xf>
    <xf numFmtId="0" fontId="0" fillId="10" borderId="75" xfId="0" applyFill="1" applyBorder="1" applyAlignment="1" applyProtection="1">
      <alignment horizontal="center"/>
      <protection locked="0"/>
    </xf>
    <xf numFmtId="0" fontId="0" fillId="10" borderId="76" xfId="0" applyFill="1" applyBorder="1" applyAlignment="1" applyProtection="1">
      <alignment horizontal="center"/>
      <protection locked="0"/>
    </xf>
    <xf numFmtId="0" fontId="0" fillId="10" borderId="77" xfId="0" applyFill="1" applyBorder="1" applyAlignment="1" applyProtection="1">
      <alignment horizontal="center"/>
      <protection locked="0"/>
    </xf>
    <xf numFmtId="0" fontId="9" fillId="4" borderId="6" xfId="0" applyFont="1" applyFill="1" applyBorder="1" applyAlignment="1" applyProtection="1">
      <alignment horizontal="center" vertical="center" wrapText="1"/>
    </xf>
    <xf numFmtId="0" fontId="0" fillId="2" borderId="1" xfId="0" applyFill="1" applyBorder="1" applyAlignment="1" applyProtection="1">
      <alignment horizontal="left" vertical="top"/>
      <protection locked="0"/>
    </xf>
    <xf numFmtId="0" fontId="7" fillId="3" borderId="64" xfId="0" applyFont="1" applyFill="1" applyBorder="1" applyAlignment="1" applyProtection="1">
      <alignment horizontal="right" vertical="center" wrapText="1"/>
    </xf>
    <xf numFmtId="0" fontId="0" fillId="2" borderId="87" xfId="0" applyFill="1" applyBorder="1" applyAlignment="1" applyProtection="1">
      <alignment horizontal="center" wrapText="1"/>
    </xf>
    <xf numFmtId="0" fontId="0" fillId="2" borderId="88" xfId="0" applyFill="1" applyBorder="1" applyAlignment="1" applyProtection="1">
      <alignment horizontal="center" wrapText="1"/>
    </xf>
    <xf numFmtId="0" fontId="9" fillId="4" borderId="62" xfId="0" applyFont="1" applyFill="1" applyBorder="1" applyAlignment="1" applyProtection="1">
      <alignment horizontal="left" vertical="center"/>
    </xf>
    <xf numFmtId="0" fontId="9" fillId="4" borderId="63" xfId="0" applyFont="1" applyFill="1" applyBorder="1" applyAlignment="1" applyProtection="1">
      <alignment horizontal="left" vertical="center"/>
    </xf>
    <xf numFmtId="0" fontId="9" fillId="4" borderId="64" xfId="0" applyFont="1" applyFill="1" applyBorder="1" applyAlignment="1" applyProtection="1">
      <alignment horizontal="left" vertical="center"/>
    </xf>
    <xf numFmtId="0" fontId="9" fillId="4" borderId="8"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0" fillId="2" borderId="68" xfId="0" applyFill="1" applyBorder="1" applyAlignment="1" applyProtection="1">
      <alignment horizontal="center"/>
    </xf>
    <xf numFmtId="0" fontId="0" fillId="2" borderId="59" xfId="0" applyFill="1" applyBorder="1" applyAlignment="1" applyProtection="1">
      <alignment horizontal="center"/>
    </xf>
    <xf numFmtId="0" fontId="0" fillId="2" borderId="69" xfId="0" applyFill="1" applyBorder="1" applyAlignment="1" applyProtection="1">
      <alignment horizontal="center"/>
    </xf>
    <xf numFmtId="0" fontId="0" fillId="2" borderId="87" xfId="0" applyFill="1" applyBorder="1" applyAlignment="1" applyProtection="1">
      <alignment horizontal="center"/>
    </xf>
    <xf numFmtId="0" fontId="0" fillId="2" borderId="76" xfId="0" applyFill="1" applyBorder="1" applyAlignment="1" applyProtection="1">
      <alignment horizontal="center"/>
    </xf>
    <xf numFmtId="0" fontId="0" fillId="2" borderId="88" xfId="0" applyFill="1" applyBorder="1" applyAlignment="1" applyProtection="1">
      <alignment horizontal="center"/>
    </xf>
    <xf numFmtId="0" fontId="8"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9" fillId="4" borderId="46"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35" xfId="0" applyFont="1" applyFill="1" applyBorder="1" applyAlignment="1" applyProtection="1">
      <alignment horizontal="center" vertical="center" wrapText="1"/>
    </xf>
    <xf numFmtId="49" fontId="0" fillId="2" borderId="68" xfId="0" applyNumberFormat="1" applyFill="1" applyBorder="1" applyAlignment="1" applyProtection="1">
      <alignment horizontal="center"/>
    </xf>
    <xf numFmtId="49" fontId="0" fillId="2" borderId="59" xfId="0" applyNumberFormat="1" applyFill="1" applyBorder="1" applyAlignment="1" applyProtection="1">
      <alignment horizontal="center"/>
    </xf>
    <xf numFmtId="49" fontId="0" fillId="2" borderId="87" xfId="0" applyNumberFormat="1" applyFill="1" applyBorder="1" applyAlignment="1" applyProtection="1">
      <alignment horizontal="center"/>
    </xf>
    <xf numFmtId="49" fontId="0" fillId="2" borderId="88" xfId="0" applyNumberFormat="1" applyFill="1" applyBorder="1" applyAlignment="1" applyProtection="1">
      <alignment horizontal="center"/>
    </xf>
    <xf numFmtId="0" fontId="9" fillId="11" borderId="76" xfId="0" applyFont="1" applyFill="1" applyBorder="1" applyAlignment="1" applyProtection="1">
      <alignment horizontal="center"/>
    </xf>
    <xf numFmtId="0" fontId="8" fillId="4" borderId="6" xfId="0" applyFont="1" applyFill="1" applyBorder="1" applyAlignment="1" applyProtection="1">
      <alignment horizontal="left" vertical="center" wrapText="1"/>
    </xf>
    <xf numFmtId="0" fontId="7" fillId="3" borderId="1" xfId="0" applyFont="1" applyFill="1" applyBorder="1" applyAlignment="1" applyProtection="1">
      <alignment horizontal="right" vertical="center" wrapText="1"/>
    </xf>
    <xf numFmtId="0" fontId="9" fillId="4" borderId="6" xfId="0" applyFont="1" applyFill="1" applyBorder="1" applyAlignment="1" applyProtection="1">
      <alignment horizontal="center" vertical="center"/>
    </xf>
    <xf numFmtId="0" fontId="8" fillId="4" borderId="6" xfId="0" applyFont="1" applyFill="1" applyBorder="1" applyAlignment="1" applyProtection="1">
      <alignment horizontal="center" vertical="center" wrapText="1"/>
    </xf>
    <xf numFmtId="0" fontId="0" fillId="2" borderId="6" xfId="0" applyFill="1" applyBorder="1" applyAlignment="1" applyProtection="1">
      <alignment horizontal="center" vertical="center"/>
      <protection locked="0"/>
    </xf>
    <xf numFmtId="0" fontId="8" fillId="4" borderId="6" xfId="0" applyFont="1" applyFill="1" applyBorder="1" applyAlignment="1" applyProtection="1">
      <alignment wrapText="1"/>
    </xf>
    <xf numFmtId="0" fontId="0" fillId="8" borderId="59" xfId="0" applyFill="1" applyBorder="1" applyAlignment="1">
      <alignment wrapText="1"/>
    </xf>
    <xf numFmtId="0" fontId="0" fillId="8" borderId="0" xfId="0" applyFill="1" applyBorder="1" applyAlignment="1">
      <alignment wrapText="1"/>
    </xf>
    <xf numFmtId="0" fontId="0" fillId="8" borderId="0" xfId="0" applyFill="1" applyBorder="1" applyAlignment="1">
      <alignment horizontal="left" wrapText="1"/>
    </xf>
    <xf numFmtId="0" fontId="0" fillId="5" borderId="59" xfId="0" applyFill="1" applyBorder="1" applyAlignment="1">
      <alignment vertical="top" wrapText="1"/>
    </xf>
    <xf numFmtId="0" fontId="0" fillId="5" borderId="69" xfId="0" applyFill="1" applyBorder="1" applyAlignment="1">
      <alignment vertical="top" wrapText="1"/>
    </xf>
    <xf numFmtId="0" fontId="0" fillId="5" borderId="0" xfId="0" applyFill="1" applyBorder="1" applyAlignment="1">
      <alignment vertical="top" wrapText="1"/>
    </xf>
    <xf numFmtId="0" fontId="0" fillId="5" borderId="57" xfId="0" applyFill="1" applyBorder="1" applyAlignment="1">
      <alignment vertical="top" wrapText="1"/>
    </xf>
    <xf numFmtId="0" fontId="16" fillId="5" borderId="60" xfId="0" applyFont="1" applyFill="1" applyBorder="1" applyAlignment="1">
      <alignment horizontal="center" vertical="center"/>
    </xf>
    <xf numFmtId="0" fontId="16" fillId="5" borderId="61" xfId="0" applyFont="1" applyFill="1" applyBorder="1" applyAlignment="1">
      <alignment horizontal="center" vertical="center"/>
    </xf>
    <xf numFmtId="0" fontId="16" fillId="5" borderId="58" xfId="0" applyFont="1" applyFill="1" applyBorder="1" applyAlignment="1">
      <alignment horizontal="center" vertical="center"/>
    </xf>
    <xf numFmtId="0" fontId="0" fillId="5" borderId="0" xfId="0" applyFill="1" applyAlignment="1">
      <alignment wrapText="1"/>
    </xf>
    <xf numFmtId="0" fontId="16" fillId="5" borderId="57"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64" xfId="0" applyFont="1" applyFill="1" applyBorder="1" applyAlignment="1">
      <alignment horizontal="center" vertical="center"/>
    </xf>
    <xf numFmtId="0" fontId="0" fillId="5" borderId="60" xfId="0" applyFill="1" applyBorder="1" applyAlignment="1">
      <alignment horizontal="center" vertical="center"/>
    </xf>
    <xf numFmtId="0" fontId="0" fillId="5" borderId="61" xfId="0" applyFill="1" applyBorder="1" applyAlignment="1">
      <alignment horizontal="center" vertical="center"/>
    </xf>
    <xf numFmtId="0" fontId="0" fillId="5" borderId="58" xfId="0" applyFill="1" applyBorder="1" applyAlignment="1">
      <alignment horizontal="center" vertical="center"/>
    </xf>
    <xf numFmtId="0" fontId="0" fillId="5" borderId="0" xfId="0" applyFill="1" applyBorder="1" applyAlignment="1">
      <alignment horizontal="left" vertical="top" wrapText="1"/>
    </xf>
    <xf numFmtId="0" fontId="0" fillId="5" borderId="0" xfId="0" applyFill="1" applyBorder="1" applyAlignment="1">
      <alignment horizontal="left" wrapText="1"/>
    </xf>
    <xf numFmtId="0" fontId="15" fillId="5" borderId="1" xfId="0" applyFont="1" applyFill="1" applyBorder="1" applyAlignment="1">
      <alignment horizontal="center" vertical="center"/>
    </xf>
    <xf numFmtId="0" fontId="0" fillId="8" borderId="0" xfId="0" applyFill="1" applyBorder="1" applyAlignment="1">
      <alignment horizontal="left" vertical="center" wrapText="1"/>
    </xf>
    <xf numFmtId="0" fontId="14" fillId="4" borderId="6" xfId="0" applyFont="1" applyFill="1" applyBorder="1" applyAlignment="1" applyProtection="1">
      <alignment vertical="center"/>
    </xf>
    <xf numFmtId="0" fontId="0" fillId="8" borderId="0" xfId="0" applyFill="1" applyBorder="1" applyAlignment="1" applyProtection="1">
      <alignment horizontal="left" wrapText="1"/>
    </xf>
    <xf numFmtId="0" fontId="3" fillId="4" borderId="1"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60" xfId="0" applyFont="1" applyFill="1" applyBorder="1" applyAlignment="1">
      <alignment horizontal="center" vertical="center"/>
    </xf>
    <xf numFmtId="0" fontId="0" fillId="8" borderId="0" xfId="0" applyFill="1" applyBorder="1" applyAlignment="1">
      <alignment vertical="center" wrapText="1"/>
    </xf>
    <xf numFmtId="0" fontId="7" fillId="5" borderId="61" xfId="0" applyFont="1" applyFill="1" applyBorder="1" applyAlignment="1">
      <alignment horizontal="center" vertical="center" wrapText="1"/>
    </xf>
    <xf numFmtId="0" fontId="7" fillId="5" borderId="58" xfId="0" applyFont="1" applyFill="1" applyBorder="1" applyAlignment="1">
      <alignment horizontal="center" vertical="center" wrapText="1"/>
    </xf>
    <xf numFmtId="0" fontId="0" fillId="2" borderId="62" xfId="0" applyFill="1" applyBorder="1" applyAlignment="1" applyProtection="1">
      <protection locked="0"/>
    </xf>
    <xf numFmtId="0" fontId="0" fillId="2" borderId="64" xfId="0" applyFill="1" applyBorder="1" applyAlignment="1" applyProtection="1">
      <protection locked="0"/>
    </xf>
    <xf numFmtId="0" fontId="0" fillId="5" borderId="59" xfId="0" applyFill="1" applyBorder="1" applyAlignment="1">
      <alignment horizontal="left" vertical="top" wrapText="1"/>
    </xf>
    <xf numFmtId="0" fontId="0" fillId="5" borderId="69" xfId="0" applyFill="1" applyBorder="1" applyAlignment="1">
      <alignment horizontal="left" vertical="top" wrapText="1"/>
    </xf>
    <xf numFmtId="0" fontId="0" fillId="5" borderId="57" xfId="0" applyFill="1" applyBorder="1" applyAlignment="1">
      <alignment horizontal="left" vertical="top" wrapText="1"/>
    </xf>
    <xf numFmtId="0" fontId="7" fillId="7" borderId="1" xfId="0" applyFont="1" applyFill="1" applyBorder="1" applyAlignment="1">
      <alignment horizontal="center" vertical="center"/>
    </xf>
    <xf numFmtId="0" fontId="0" fillId="2" borderId="63" xfId="0" applyFill="1" applyBorder="1" applyAlignment="1" applyProtection="1">
      <protection locked="0"/>
    </xf>
    <xf numFmtId="0" fontId="0" fillId="5" borderId="0" xfId="0" applyFill="1" applyBorder="1" applyAlignment="1">
      <alignment horizontal="left" vertical="center" wrapText="1"/>
    </xf>
    <xf numFmtId="0" fontId="0" fillId="5" borderId="57" xfId="0" applyFill="1" applyBorder="1" applyAlignment="1">
      <alignment horizontal="left" vertical="center" wrapText="1"/>
    </xf>
    <xf numFmtId="0" fontId="0" fillId="5" borderId="56" xfId="0" applyFill="1" applyBorder="1" applyAlignment="1">
      <alignment horizontal="left" vertical="center" wrapText="1"/>
    </xf>
    <xf numFmtId="0" fontId="0" fillId="5" borderId="66" xfId="0" applyFill="1" applyBorder="1" applyAlignment="1">
      <alignment horizontal="left" vertical="center" wrapText="1"/>
    </xf>
    <xf numFmtId="0" fontId="7" fillId="7" borderId="62" xfId="0" applyFont="1" applyFill="1" applyBorder="1" applyAlignment="1">
      <alignment horizontal="center" vertical="center"/>
    </xf>
    <xf numFmtId="0" fontId="7" fillId="7" borderId="64" xfId="0" applyFont="1" applyFill="1" applyBorder="1" applyAlignment="1">
      <alignment horizontal="center" vertical="center"/>
    </xf>
    <xf numFmtId="0" fontId="0" fillId="7" borderId="62" xfId="0" applyFill="1" applyBorder="1" applyAlignment="1">
      <alignment vertical="center" wrapText="1"/>
    </xf>
    <xf numFmtId="0" fontId="0" fillId="7" borderId="64" xfId="0" applyFill="1" applyBorder="1" applyAlignment="1">
      <alignment vertical="center" wrapText="1"/>
    </xf>
    <xf numFmtId="0" fontId="7" fillId="7" borderId="1" xfId="0" applyFont="1" applyFill="1" applyBorder="1" applyAlignment="1">
      <alignment horizontal="center" vertical="center" wrapText="1"/>
    </xf>
    <xf numFmtId="0" fontId="0" fillId="5" borderId="60" xfId="0" applyFill="1" applyBorder="1" applyAlignment="1">
      <alignment horizontal="center" vertical="center" wrapText="1"/>
    </xf>
    <xf numFmtId="0" fontId="0" fillId="5" borderId="61" xfId="0" applyFill="1" applyBorder="1" applyAlignment="1">
      <alignment horizontal="center" vertical="center" wrapText="1"/>
    </xf>
    <xf numFmtId="0" fontId="0" fillId="5" borderId="58" xfId="0" applyFill="1" applyBorder="1" applyAlignment="1">
      <alignment horizontal="center" vertical="center" wrapText="1"/>
    </xf>
    <xf numFmtId="0" fontId="16" fillId="5" borderId="60" xfId="0" applyFont="1" applyFill="1" applyBorder="1" applyAlignment="1">
      <alignment horizontal="center" vertical="center" wrapText="1"/>
    </xf>
    <xf numFmtId="0" fontId="16" fillId="5" borderId="58" xfId="0" applyFont="1" applyFill="1" applyBorder="1" applyAlignment="1">
      <alignment horizontal="center" vertical="center" wrapText="1"/>
    </xf>
    <xf numFmtId="0" fontId="0" fillId="5" borderId="0" xfId="0" applyFill="1" applyBorder="1" applyAlignment="1">
      <alignment wrapText="1"/>
    </xf>
    <xf numFmtId="0" fontId="0" fillId="5" borderId="57" xfId="0" applyFill="1" applyBorder="1" applyAlignment="1">
      <alignment wrapText="1"/>
    </xf>
    <xf numFmtId="0" fontId="0" fillId="5" borderId="57" xfId="0" applyFill="1" applyBorder="1" applyAlignment="1">
      <alignment horizontal="left" wrapText="1"/>
    </xf>
    <xf numFmtId="0" fontId="0" fillId="7" borderId="60" xfId="0" applyFill="1" applyBorder="1" applyAlignment="1">
      <alignment horizontal="center" vertical="center"/>
    </xf>
    <xf numFmtId="0" fontId="0" fillId="7" borderId="61" xfId="0" applyFill="1" applyBorder="1" applyAlignment="1">
      <alignment horizontal="center" vertical="center"/>
    </xf>
    <xf numFmtId="0" fontId="0" fillId="7" borderId="58" xfId="0"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0" fillId="7" borderId="58" xfId="0" applyFill="1" applyBorder="1" applyAlignment="1">
      <alignment horizontal="left" vertical="center"/>
    </xf>
    <xf numFmtId="0" fontId="16" fillId="5" borderId="6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60" xfId="0" applyFont="1" applyFill="1" applyBorder="1" applyAlignment="1">
      <alignment horizontal="center" vertical="center" wrapText="1"/>
    </xf>
    <xf numFmtId="0" fontId="7" fillId="5" borderId="1" xfId="0" applyFont="1" applyFill="1" applyBorder="1" applyAlignment="1">
      <alignment horizontal="center" vertical="center"/>
    </xf>
    <xf numFmtId="0" fontId="0" fillId="5" borderId="11" xfId="0" applyFont="1" applyFill="1" applyBorder="1" applyAlignment="1">
      <alignment horizontal="left" vertical="center" wrapText="1"/>
    </xf>
    <xf numFmtId="0" fontId="0" fillId="5" borderId="10" xfId="0" applyFont="1" applyFill="1" applyBorder="1" applyAlignment="1">
      <alignment horizontal="left" vertical="center" wrapText="1"/>
    </xf>
    <xf numFmtId="0" fontId="2" fillId="5" borderId="16"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4" fillId="5" borderId="53" xfId="0" applyFont="1" applyFill="1" applyBorder="1" applyAlignment="1">
      <alignment horizontal="center" vertical="center" textRotation="90" wrapText="1"/>
    </xf>
    <xf numFmtId="0" fontId="4" fillId="5" borderId="55" xfId="0" applyFont="1" applyFill="1" applyBorder="1" applyAlignment="1">
      <alignment horizontal="center" vertical="center" textRotation="90" wrapText="1"/>
    </xf>
    <xf numFmtId="0" fontId="4" fillId="5" borderId="19" xfId="0" applyFont="1" applyFill="1" applyBorder="1" applyAlignment="1">
      <alignment horizontal="center" vertical="center" textRotation="90" wrapText="1"/>
    </xf>
    <xf numFmtId="0" fontId="4" fillId="5" borderId="20" xfId="0" applyFont="1" applyFill="1" applyBorder="1" applyAlignment="1">
      <alignment horizontal="center" vertical="center" textRotation="90" wrapText="1"/>
    </xf>
    <xf numFmtId="0" fontId="4" fillId="5" borderId="21" xfId="0" applyFont="1" applyFill="1" applyBorder="1" applyAlignment="1">
      <alignment horizontal="center" vertical="center" textRotation="90" wrapText="1"/>
    </xf>
    <xf numFmtId="0" fontId="4" fillId="5" borderId="22" xfId="0" applyFont="1" applyFill="1" applyBorder="1" applyAlignment="1">
      <alignment horizontal="center" vertical="center" textRotation="90" wrapText="1"/>
    </xf>
    <xf numFmtId="0" fontId="4" fillId="5" borderId="17" xfId="0" applyFont="1" applyFill="1" applyBorder="1" applyAlignment="1">
      <alignment horizontal="center" vertical="center" textRotation="90" wrapText="1"/>
    </xf>
    <xf numFmtId="0" fontId="4" fillId="5" borderId="18" xfId="0" applyFont="1" applyFill="1" applyBorder="1" applyAlignment="1">
      <alignment horizontal="center" vertical="center" textRotation="90" wrapText="1"/>
    </xf>
    <xf numFmtId="0" fontId="4" fillId="5" borderId="51" xfId="0" applyFont="1" applyFill="1" applyBorder="1" applyAlignment="1">
      <alignment horizontal="center" vertical="center" textRotation="90" wrapText="1"/>
    </xf>
    <xf numFmtId="0" fontId="4" fillId="5" borderId="54" xfId="0" applyFont="1" applyFill="1" applyBorder="1" applyAlignment="1">
      <alignment horizontal="center" vertical="center" textRotation="90" wrapText="1"/>
    </xf>
    <xf numFmtId="0" fontId="4" fillId="5" borderId="52" xfId="0" applyFont="1" applyFill="1" applyBorder="1" applyAlignment="1">
      <alignment horizontal="center" vertical="center" textRotation="90" wrapText="1"/>
    </xf>
    <xf numFmtId="0" fontId="4" fillId="5" borderId="43" xfId="0" applyFont="1" applyFill="1" applyBorder="1" applyAlignment="1">
      <alignment horizontal="center" vertical="center" textRotation="90" wrapText="1"/>
    </xf>
    <xf numFmtId="0" fontId="4" fillId="5" borderId="44" xfId="0" applyFont="1" applyFill="1" applyBorder="1" applyAlignment="1">
      <alignment horizontal="center" vertical="center" textRotation="90" wrapText="1"/>
    </xf>
    <xf numFmtId="0" fontId="7" fillId="5" borderId="1" xfId="0" applyFont="1" applyFill="1" applyBorder="1" applyAlignment="1">
      <alignment horizontal="center"/>
    </xf>
    <xf numFmtId="0" fontId="0" fillId="5" borderId="1" xfId="0" applyFill="1" applyBorder="1" applyAlignment="1">
      <alignment wrapText="1"/>
    </xf>
    <xf numFmtId="0" fontId="0" fillId="5" borderId="59" xfId="0" applyFill="1" applyBorder="1" applyAlignment="1">
      <alignment wrapText="1"/>
    </xf>
    <xf numFmtId="0" fontId="0" fillId="5" borderId="1" xfId="0" applyFill="1" applyBorder="1"/>
    <xf numFmtId="0" fontId="0" fillId="5" borderId="0" xfId="0" applyFill="1" applyAlignment="1">
      <alignment horizontal="left" vertical="top" wrapText="1"/>
    </xf>
    <xf numFmtId="0" fontId="0" fillId="5" borderId="0" xfId="0" applyFill="1" applyAlignment="1">
      <alignment horizontal="left" wrapText="1"/>
    </xf>
    <xf numFmtId="0" fontId="0" fillId="0" borderId="0" xfId="0" applyAlignment="1">
      <alignment horizontal="center" vertical="center"/>
    </xf>
    <xf numFmtId="0" fontId="0" fillId="0" borderId="0" xfId="0" applyAlignment="1">
      <alignment horizontal="center" vertical="center" wrapText="1"/>
    </xf>
  </cellXfs>
  <cellStyles count="4">
    <cellStyle name="Euro" xfId="1" xr:uid="{00000000-0005-0000-0000-000000000000}"/>
    <cellStyle name="Hipervínculo 2" xfId="3" xr:uid="{00000000-0005-0000-0000-000001000000}"/>
    <cellStyle name="Normal" xfId="0" builtinId="0"/>
    <cellStyle name="Procent" xfId="2" builtinId="5"/>
  </cellStyles>
  <dxfs count="79">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ont>
        <b/>
        <i val="0"/>
        <color rgb="FFC00000"/>
      </font>
    </dxf>
    <dxf>
      <fill>
        <patternFill>
          <bgColor theme="0" tint="-0.14996795556505021"/>
        </patternFill>
      </fill>
    </dxf>
    <dxf>
      <fill>
        <patternFill>
          <bgColor theme="0" tint="-0.14996795556505021"/>
        </patternFill>
      </fill>
    </dxf>
    <dxf>
      <font>
        <b/>
        <i val="0"/>
        <color rgb="FFC00000"/>
      </font>
    </dxf>
    <dxf>
      <fill>
        <patternFill>
          <bgColor theme="0" tint="-0.499984740745262"/>
        </patternFill>
      </fill>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C00000"/>
      </font>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ont>
        <color rgb="FF92D050"/>
      </font>
    </dxf>
    <dxf>
      <font>
        <color theme="5"/>
      </font>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L$5" lockText="1" noThreeD="1"/>
</file>

<file path=xl/ctrlProps/ctrlProp10.xml><?xml version="1.0" encoding="utf-8"?>
<formControlPr xmlns="http://schemas.microsoft.com/office/spreadsheetml/2009/9/main" objectType="CheckBox" fmlaLink="$R$103" lockText="1" noThreeD="1"/>
</file>

<file path=xl/ctrlProps/ctrlProp11.xml><?xml version="1.0" encoding="utf-8"?>
<formControlPr xmlns="http://schemas.microsoft.com/office/spreadsheetml/2009/9/main" objectType="CheckBox" fmlaLink="$L$106" lockText="1" noThreeD="1"/>
</file>

<file path=xl/ctrlProps/ctrlProp12.xml><?xml version="1.0" encoding="utf-8"?>
<formControlPr xmlns="http://schemas.microsoft.com/office/spreadsheetml/2009/9/main" objectType="CheckBox" fmlaLink="$L$108" lockText="1" noThreeD="1"/>
</file>

<file path=xl/ctrlProps/ctrlProp13.xml><?xml version="1.0" encoding="utf-8"?>
<formControlPr xmlns="http://schemas.microsoft.com/office/spreadsheetml/2009/9/main" objectType="CheckBox" fmlaLink="$L$110"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fmlaLink="$R$110" lockText="1" noThreeD="1"/>
</file>

<file path=xl/ctrlProps/ctrlProp16.xml><?xml version="1.0" encoding="utf-8"?>
<formControlPr xmlns="http://schemas.microsoft.com/office/spreadsheetml/2009/9/main" objectType="CheckBox" fmlaLink="$R$106" lockText="1" noThreeD="1"/>
</file>

<file path=xl/ctrlProps/ctrlProp17.xml><?xml version="1.0" encoding="utf-8"?>
<formControlPr xmlns="http://schemas.microsoft.com/office/spreadsheetml/2009/9/main" objectType="CheckBox" fmlaLink="$L$114" lockText="1" noThreeD="1"/>
</file>

<file path=xl/ctrlProps/ctrlProp18.xml><?xml version="1.0" encoding="utf-8"?>
<formControlPr xmlns="http://schemas.microsoft.com/office/spreadsheetml/2009/9/main" objectType="CheckBox" fmlaLink="$L$118"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L$13" lockText="1" noThreeD="1"/>
</file>

<file path=xl/ctrlProps/ctrlProp20.xml><?xml version="1.0" encoding="utf-8"?>
<formControlPr xmlns="http://schemas.microsoft.com/office/spreadsheetml/2009/9/main" objectType="CheckBox" fmlaLink="$L$124" lockText="1" noThreeD="1"/>
</file>

<file path=xl/ctrlProps/ctrlProp21.xml><?xml version="1.0" encoding="utf-8"?>
<formControlPr xmlns="http://schemas.microsoft.com/office/spreadsheetml/2009/9/main" objectType="CheckBox" fmlaLink="$L$127"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fmlaLink="$L$130" lockText="1" noThreeD="1"/>
</file>

<file path=xl/ctrlProps/ctrlProp24.xml><?xml version="1.0" encoding="utf-8"?>
<formControlPr xmlns="http://schemas.microsoft.com/office/spreadsheetml/2009/9/main" objectType="CheckBox" fmlaLink="$L$132" lockText="1" noThreeD="1"/>
</file>

<file path=xl/ctrlProps/ctrlProp25.xml><?xml version="1.0" encoding="utf-8"?>
<formControlPr xmlns="http://schemas.microsoft.com/office/spreadsheetml/2009/9/main" objectType="CheckBox" fmlaLink="$L$135" lockText="1" noThreeD="1"/>
</file>

<file path=xl/ctrlProps/ctrlProp26.xml><?xml version="1.0" encoding="utf-8"?>
<formControlPr xmlns="http://schemas.microsoft.com/office/spreadsheetml/2009/9/main" objectType="CheckBox" fmlaLink="$L$137" lockText="1" noThreeD="1"/>
</file>

<file path=xl/ctrlProps/ctrlProp27.xml><?xml version="1.0" encoding="utf-8"?>
<formControlPr xmlns="http://schemas.microsoft.com/office/spreadsheetml/2009/9/main" objectType="CheckBox" fmlaLink="$L$116" lockText="1" noThreeD="1"/>
</file>

<file path=xl/ctrlProps/ctrlProp28.xml><?xml version="1.0" encoding="utf-8"?>
<formControlPr xmlns="http://schemas.microsoft.com/office/spreadsheetml/2009/9/main" objectType="CheckBox" fmlaLink="$R$114" lockText="1" noThreeD="1"/>
</file>

<file path=xl/ctrlProps/ctrlProp29.xml><?xml version="1.0" encoding="utf-8"?>
<formControlPr xmlns="http://schemas.microsoft.com/office/spreadsheetml/2009/9/main" objectType="CheckBox" fmlaLink="$R$116" lockText="1" noThreeD="1"/>
</file>

<file path=xl/ctrlProps/ctrlProp3.xml><?xml version="1.0" encoding="utf-8"?>
<formControlPr xmlns="http://schemas.microsoft.com/office/spreadsheetml/2009/9/main" objectType="CheckBox" fmlaLink="$L$20" lockText="1" noThreeD="1"/>
</file>

<file path=xl/ctrlProps/ctrlProp30.xml><?xml version="1.0" encoding="utf-8"?>
<formControlPr xmlns="http://schemas.microsoft.com/office/spreadsheetml/2009/9/main" objectType="CheckBox" fmlaLink="$R$118" lockText="1" noThreeD="1"/>
</file>

<file path=xl/ctrlProps/ctrlProp31.xml><?xml version="1.0" encoding="utf-8"?>
<formControlPr xmlns="http://schemas.microsoft.com/office/spreadsheetml/2009/9/main" objectType="CheckBox" fmlaLink="$R$123" lockText="1" noThreeD="1"/>
</file>

<file path=xl/ctrlProps/ctrlProp32.xml><?xml version="1.0" encoding="utf-8"?>
<formControlPr xmlns="http://schemas.microsoft.com/office/spreadsheetml/2009/9/main" objectType="CheckBox" fmlaLink="$R$125" lockText="1" noThreeD="1"/>
</file>

<file path=xl/ctrlProps/ctrlProp33.xml><?xml version="1.0" encoding="utf-8"?>
<formControlPr xmlns="http://schemas.microsoft.com/office/spreadsheetml/2009/9/main" objectType="CheckBox" fmlaLink="$L$141" lockText="1" noThreeD="1"/>
</file>

<file path=xl/ctrlProps/ctrlProp34.xml><?xml version="1.0" encoding="utf-8"?>
<formControlPr xmlns="http://schemas.microsoft.com/office/spreadsheetml/2009/9/main" objectType="CheckBox" fmlaLink="$L$143" lockText="1" noThreeD="1"/>
</file>

<file path=xl/ctrlProps/ctrlProp35.xml><?xml version="1.0" encoding="utf-8"?>
<formControlPr xmlns="http://schemas.microsoft.com/office/spreadsheetml/2009/9/main" objectType="CheckBox" fmlaLink="$L$148" lockText="1" noThreeD="1"/>
</file>

<file path=xl/ctrlProps/ctrlProp36.xml><?xml version="1.0" encoding="utf-8"?>
<formControlPr xmlns="http://schemas.microsoft.com/office/spreadsheetml/2009/9/main" objectType="CheckBox" fmlaLink="$L$151"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fmlaLink="$R$141" lockText="1" noThreeD="1"/>
</file>

<file path=xl/ctrlProps/ctrlProp4.xml><?xml version="1.0" encoding="utf-8"?>
<formControlPr xmlns="http://schemas.microsoft.com/office/spreadsheetml/2009/9/main" objectType="CheckBox" fmlaLink="$L$8" lockText="1" noThreeD="1"/>
</file>

<file path=xl/ctrlProps/ctrlProp40.xml><?xml version="1.0" encoding="utf-8"?>
<formControlPr xmlns="http://schemas.microsoft.com/office/spreadsheetml/2009/9/main" objectType="CheckBox" fmlaLink="$L$34" lockText="1" noThreeD="1"/>
</file>

<file path=xl/ctrlProps/ctrlProp41.xml><?xml version="1.0" encoding="utf-8"?>
<formControlPr xmlns="http://schemas.microsoft.com/office/spreadsheetml/2009/9/main" objectType="CheckBox" fmlaLink="$L$37" lockText="1" noThreeD="1"/>
</file>

<file path=xl/ctrlProps/ctrlProp42.xml><?xml version="1.0" encoding="utf-8"?>
<formControlPr xmlns="http://schemas.microsoft.com/office/spreadsheetml/2009/9/main" objectType="CheckBox" fmlaLink="$L$44" lockText="1" noThreeD="1"/>
</file>

<file path=xl/ctrlProps/ctrlProp43.xml><?xml version="1.0" encoding="utf-8"?>
<formControlPr xmlns="http://schemas.microsoft.com/office/spreadsheetml/2009/9/main" objectType="CheckBox" fmlaLink="$L$50" lockText="1" noThreeD="1"/>
</file>

<file path=xl/ctrlProps/ctrlProp44.xml><?xml version="1.0" encoding="utf-8"?>
<formControlPr xmlns="http://schemas.microsoft.com/office/spreadsheetml/2009/9/main" objectType="CheckBox" fmlaLink="$L$54" lockText="1" noThreeD="1"/>
</file>

<file path=xl/ctrlProps/ctrlProp45.xml><?xml version="1.0" encoding="utf-8"?>
<formControlPr xmlns="http://schemas.microsoft.com/office/spreadsheetml/2009/9/main" objectType="CheckBox" fmlaLink="$L$59" lockText="1" noThreeD="1"/>
</file>

<file path=xl/ctrlProps/ctrlProp46.xml><?xml version="1.0" encoding="utf-8"?>
<formControlPr xmlns="http://schemas.microsoft.com/office/spreadsheetml/2009/9/main" objectType="CheckBox" fmlaLink="$L$62" lockText="1" noThreeD="1"/>
</file>

<file path=xl/ctrlProps/ctrlProp47.xml><?xml version="1.0" encoding="utf-8"?>
<formControlPr xmlns="http://schemas.microsoft.com/office/spreadsheetml/2009/9/main" objectType="CheckBox" fmlaLink="$R$34" lockText="1" noThreeD="1"/>
</file>

<file path=xl/ctrlProps/ctrlProp48.xml><?xml version="1.0" encoding="utf-8"?>
<formControlPr xmlns="http://schemas.microsoft.com/office/spreadsheetml/2009/9/main" objectType="CheckBox" checked="Checked" fmlaLink="$R$37" lockText="1" noThreeD="1"/>
</file>

<file path=xl/ctrlProps/ctrlProp49.xml><?xml version="1.0" encoding="utf-8"?>
<formControlPr xmlns="http://schemas.microsoft.com/office/spreadsheetml/2009/9/main" objectType="CheckBox" fmlaLink="$L$65" lockText="1" noThreeD="1"/>
</file>

<file path=xl/ctrlProps/ctrlProp5.xml><?xml version="1.0" encoding="utf-8"?>
<formControlPr xmlns="http://schemas.microsoft.com/office/spreadsheetml/2009/9/main" objectType="CheckBox" fmlaLink="$R$8" lockText="1" noThreeD="1"/>
</file>

<file path=xl/ctrlProps/ctrlProp50.xml><?xml version="1.0" encoding="utf-8"?>
<formControlPr xmlns="http://schemas.microsoft.com/office/spreadsheetml/2009/9/main" objectType="CheckBox" fmlaLink="$L$68" lockText="1" noThreeD="1"/>
</file>

<file path=xl/ctrlProps/ctrlProp51.xml><?xml version="1.0" encoding="utf-8"?>
<formControlPr xmlns="http://schemas.microsoft.com/office/spreadsheetml/2009/9/main" objectType="CheckBox" fmlaLink="$L$71" lockText="1" noThreeD="1"/>
</file>

<file path=xl/ctrlProps/ctrlProp52.xml><?xml version="1.0" encoding="utf-8"?>
<formControlPr xmlns="http://schemas.microsoft.com/office/spreadsheetml/2009/9/main" objectType="CheckBox" fmlaLink="$L$73" lockText="1" noThreeD="1"/>
</file>

<file path=xl/ctrlProps/ctrlProp53.xml><?xml version="1.0" encoding="utf-8"?>
<formControlPr xmlns="http://schemas.microsoft.com/office/spreadsheetml/2009/9/main" objectType="CheckBox" fmlaLink="$L$77" lockText="1" noThreeD="1"/>
</file>

<file path=xl/ctrlProps/ctrlProp54.xml><?xml version="1.0" encoding="utf-8"?>
<formControlPr xmlns="http://schemas.microsoft.com/office/spreadsheetml/2009/9/main" objectType="CheckBox" fmlaLink="$L$79" lockText="1" noThreeD="1"/>
</file>

<file path=xl/ctrlProps/ctrlProp55.xml><?xml version="1.0" encoding="utf-8"?>
<formControlPr xmlns="http://schemas.microsoft.com/office/spreadsheetml/2009/9/main" objectType="CheckBox" fmlaLink="$L$82" lockText="1" noThreeD="1"/>
</file>

<file path=xl/ctrlProps/ctrlProp56.xml><?xml version="1.0" encoding="utf-8"?>
<formControlPr xmlns="http://schemas.microsoft.com/office/spreadsheetml/2009/9/main" objectType="CheckBox" fmlaLink="$L$90" lockText="1" noThreeD="1"/>
</file>

<file path=xl/ctrlProps/ctrlProp57.xml><?xml version="1.0" encoding="utf-8"?>
<formControlPr xmlns="http://schemas.microsoft.com/office/spreadsheetml/2009/9/main" objectType="CheckBox" fmlaLink="$L$92" lockText="1" noThreeD="1"/>
</file>

<file path=xl/ctrlProps/ctrlProp58.xml><?xml version="1.0" encoding="utf-8"?>
<formControlPr xmlns="http://schemas.microsoft.com/office/spreadsheetml/2009/9/main" objectType="CheckBox" fmlaLink="$L$95" lockText="1" noThreeD="1"/>
</file>

<file path=xl/ctrlProps/ctrlProp59.xml><?xml version="1.0" encoding="utf-8"?>
<formControlPr xmlns="http://schemas.microsoft.com/office/spreadsheetml/2009/9/main" objectType="CheckBox" fmlaLink="$L$100" lockText="1" noThreeD="1"/>
</file>

<file path=xl/ctrlProps/ctrlProp6.xml><?xml version="1.0" encoding="utf-8"?>
<formControlPr xmlns="http://schemas.microsoft.com/office/spreadsheetml/2009/9/main" objectType="CheckBox" fmlaLink="$L$26" lockText="1" noThreeD="1"/>
</file>

<file path=xl/ctrlProps/ctrlProp60.xml><?xml version="1.0" encoding="utf-8"?>
<formControlPr xmlns="http://schemas.microsoft.com/office/spreadsheetml/2009/9/main" objectType="CheckBox" fmlaLink="$R$148" lockText="1" noThreeD="1"/>
</file>

<file path=xl/ctrlProps/ctrlProp61.xml><?xml version="1.0" encoding="utf-8"?>
<formControlPr xmlns="http://schemas.microsoft.com/office/spreadsheetml/2009/9/main" objectType="CheckBox" fmlaLink="$L$159" lockText="1" noThreeD="1"/>
</file>

<file path=xl/ctrlProps/ctrlProp62.xml><?xml version="1.0" encoding="utf-8"?>
<formControlPr xmlns="http://schemas.microsoft.com/office/spreadsheetml/2009/9/main" objectType="CheckBox" fmlaLink="$R$159" lockText="1" noThreeD="1"/>
</file>

<file path=xl/ctrlProps/ctrlProp63.xml><?xml version="1.0" encoding="utf-8"?>
<formControlPr xmlns="http://schemas.microsoft.com/office/spreadsheetml/2009/9/main" objectType="CheckBox" fmlaLink="$L$164" lockText="1" noThreeD="1"/>
</file>

<file path=xl/ctrlProps/ctrlProp64.xml><?xml version="1.0" encoding="utf-8"?>
<formControlPr xmlns="http://schemas.microsoft.com/office/spreadsheetml/2009/9/main" objectType="CheckBox" fmlaLink="$L$167" lockText="1" noThreeD="1"/>
</file>

<file path=xl/ctrlProps/ctrlProp65.xml><?xml version="1.0" encoding="utf-8"?>
<formControlPr xmlns="http://schemas.microsoft.com/office/spreadsheetml/2009/9/main" objectType="CheckBox" fmlaLink="$R$164" lockText="1" noThreeD="1"/>
</file>

<file path=xl/ctrlProps/ctrlProp7.xml><?xml version="1.0" encoding="utf-8"?>
<formControlPr xmlns="http://schemas.microsoft.com/office/spreadsheetml/2009/9/main" objectType="CheckBox" fmlaLink="$R$26" lockText="1" noThreeD="1"/>
</file>

<file path=xl/ctrlProps/ctrlProp8.xml><?xml version="1.0" encoding="utf-8"?>
<formControlPr xmlns="http://schemas.microsoft.com/office/spreadsheetml/2009/9/main" objectType="CheckBox" fmlaLink="$L$28" lockText="1" noThreeD="1"/>
</file>

<file path=xl/ctrlProps/ctrlProp9.xml><?xml version="1.0" encoding="utf-8"?>
<formControlPr xmlns="http://schemas.microsoft.com/office/spreadsheetml/2009/9/main" objectType="CheckBox" fmlaLink="$R$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xdr:row>
          <xdr:rowOff>342900</xdr:rowOff>
        </xdr:from>
        <xdr:to>
          <xdr:col>3</xdr:col>
          <xdr:colOff>104775</xdr:colOff>
          <xdr:row>3</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171450</xdr:rowOff>
        </xdr:from>
        <xdr:to>
          <xdr:col>3</xdr:col>
          <xdr:colOff>85725</xdr:colOff>
          <xdr:row>13</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3</xdr:col>
          <xdr:colOff>171450</xdr:colOff>
          <xdr:row>20</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xdr:row>
          <xdr:rowOff>133350</xdr:rowOff>
        </xdr:from>
        <xdr:to>
          <xdr:col>3</xdr:col>
          <xdr:colOff>114300</xdr:colOff>
          <xdr:row>8</xdr:row>
          <xdr:rowOff>38100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xdr:row>
          <xdr:rowOff>9525</xdr:rowOff>
        </xdr:from>
        <xdr:to>
          <xdr:col>13</xdr:col>
          <xdr:colOff>447675</xdr:colOff>
          <xdr:row>3</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133350</xdr:rowOff>
        </xdr:from>
        <xdr:to>
          <xdr:col>3</xdr:col>
          <xdr:colOff>114300</xdr:colOff>
          <xdr:row>26</xdr:row>
          <xdr:rowOff>28575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18</xdr:row>
          <xdr:rowOff>180975</xdr:rowOff>
        </xdr:from>
        <xdr:to>
          <xdr:col>13</xdr:col>
          <xdr:colOff>466725</xdr:colOff>
          <xdr:row>20</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161925</xdr:rowOff>
        </xdr:from>
        <xdr:to>
          <xdr:col>3</xdr:col>
          <xdr:colOff>123825</xdr:colOff>
          <xdr:row>28</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21</xdr:row>
          <xdr:rowOff>57150</xdr:rowOff>
        </xdr:from>
        <xdr:to>
          <xdr:col>13</xdr:col>
          <xdr:colOff>466725</xdr:colOff>
          <xdr:row>22</xdr:row>
          <xdr:rowOff>180975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323850</xdr:rowOff>
        </xdr:from>
        <xdr:to>
          <xdr:col>3</xdr:col>
          <xdr:colOff>171450</xdr:colOff>
          <xdr:row>103</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104</xdr:row>
          <xdr:rowOff>180975</xdr:rowOff>
        </xdr:from>
        <xdr:to>
          <xdr:col>3</xdr:col>
          <xdr:colOff>161925</xdr:colOff>
          <xdr:row>106</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106</xdr:row>
          <xdr:rowOff>142875</xdr:rowOff>
        </xdr:from>
        <xdr:to>
          <xdr:col>3</xdr:col>
          <xdr:colOff>161925</xdr:colOff>
          <xdr:row>108</xdr:row>
          <xdr:rowOff>28575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142875</xdr:rowOff>
        </xdr:from>
        <xdr:to>
          <xdr:col>3</xdr:col>
          <xdr:colOff>161925</xdr:colOff>
          <xdr:row>110</xdr:row>
          <xdr:rowOff>28575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109</xdr:row>
          <xdr:rowOff>142875</xdr:rowOff>
        </xdr:from>
        <xdr:to>
          <xdr:col>3</xdr:col>
          <xdr:colOff>419100</xdr:colOff>
          <xdr:row>111</xdr:row>
          <xdr:rowOff>28575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106</xdr:row>
          <xdr:rowOff>66675</xdr:rowOff>
        </xdr:from>
        <xdr:to>
          <xdr:col>13</xdr:col>
          <xdr:colOff>466725</xdr:colOff>
          <xdr:row>108</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104</xdr:row>
          <xdr:rowOff>200025</xdr:rowOff>
        </xdr:from>
        <xdr:to>
          <xdr:col>13</xdr:col>
          <xdr:colOff>466725</xdr:colOff>
          <xdr:row>106</xdr:row>
          <xdr:rowOff>28575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112</xdr:row>
          <xdr:rowOff>295275</xdr:rowOff>
        </xdr:from>
        <xdr:to>
          <xdr:col>3</xdr:col>
          <xdr:colOff>180975</xdr:colOff>
          <xdr:row>114</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117</xdr:row>
          <xdr:rowOff>0</xdr:rowOff>
        </xdr:from>
        <xdr:to>
          <xdr:col>3</xdr:col>
          <xdr:colOff>171450</xdr:colOff>
          <xdr:row>118</xdr:row>
          <xdr:rowOff>28575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7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117</xdr:row>
          <xdr:rowOff>152400</xdr:rowOff>
        </xdr:from>
        <xdr:to>
          <xdr:col>3</xdr:col>
          <xdr:colOff>409575</xdr:colOff>
          <xdr:row>119</xdr:row>
          <xdr:rowOff>19050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7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122</xdr:row>
          <xdr:rowOff>304800</xdr:rowOff>
        </xdr:from>
        <xdr:to>
          <xdr:col>3</xdr:col>
          <xdr:colOff>161925</xdr:colOff>
          <xdr:row>124</xdr:row>
          <xdr:rowOff>9525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7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123825</xdr:rowOff>
        </xdr:from>
        <xdr:to>
          <xdr:col>3</xdr:col>
          <xdr:colOff>142875</xdr:colOff>
          <xdr:row>127</xdr:row>
          <xdr:rowOff>47625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126</xdr:row>
          <xdr:rowOff>142875</xdr:rowOff>
        </xdr:from>
        <xdr:to>
          <xdr:col>3</xdr:col>
          <xdr:colOff>400050</xdr:colOff>
          <xdr:row>128</xdr:row>
          <xdr:rowOff>9525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7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128</xdr:row>
          <xdr:rowOff>133350</xdr:rowOff>
        </xdr:from>
        <xdr:to>
          <xdr:col>3</xdr:col>
          <xdr:colOff>152400</xdr:colOff>
          <xdr:row>130</xdr:row>
          <xdr:rowOff>9525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130</xdr:row>
          <xdr:rowOff>133350</xdr:rowOff>
        </xdr:from>
        <xdr:to>
          <xdr:col>3</xdr:col>
          <xdr:colOff>142875</xdr:colOff>
          <xdr:row>132</xdr:row>
          <xdr:rowOff>47625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7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134</xdr:row>
          <xdr:rowOff>0</xdr:rowOff>
        </xdr:from>
        <xdr:to>
          <xdr:col>3</xdr:col>
          <xdr:colOff>152400</xdr:colOff>
          <xdr:row>135</xdr:row>
          <xdr:rowOff>47625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135</xdr:row>
          <xdr:rowOff>133350</xdr:rowOff>
        </xdr:from>
        <xdr:to>
          <xdr:col>3</xdr:col>
          <xdr:colOff>161925</xdr:colOff>
          <xdr:row>137</xdr:row>
          <xdr:rowOff>47625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7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114</xdr:row>
          <xdr:rowOff>142875</xdr:rowOff>
        </xdr:from>
        <xdr:to>
          <xdr:col>3</xdr:col>
          <xdr:colOff>123825</xdr:colOff>
          <xdr:row>116</xdr:row>
          <xdr:rowOff>47625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7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113</xdr:row>
          <xdr:rowOff>0</xdr:rowOff>
        </xdr:from>
        <xdr:to>
          <xdr:col>13</xdr:col>
          <xdr:colOff>428625</xdr:colOff>
          <xdr:row>114</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7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115</xdr:row>
          <xdr:rowOff>0</xdr:rowOff>
        </xdr:from>
        <xdr:to>
          <xdr:col>13</xdr:col>
          <xdr:colOff>438150</xdr:colOff>
          <xdr:row>116</xdr:row>
          <xdr:rowOff>47625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117</xdr:row>
          <xdr:rowOff>133350</xdr:rowOff>
        </xdr:from>
        <xdr:to>
          <xdr:col>13</xdr:col>
          <xdr:colOff>438150</xdr:colOff>
          <xdr:row>119</xdr:row>
          <xdr:rowOff>19050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122</xdr:row>
          <xdr:rowOff>142875</xdr:rowOff>
        </xdr:from>
        <xdr:to>
          <xdr:col>13</xdr:col>
          <xdr:colOff>419100</xdr:colOff>
          <xdr:row>123</xdr:row>
          <xdr:rowOff>28575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123</xdr:row>
          <xdr:rowOff>152400</xdr:rowOff>
        </xdr:from>
        <xdr:to>
          <xdr:col>13</xdr:col>
          <xdr:colOff>428625</xdr:colOff>
          <xdr:row>125</xdr:row>
          <xdr:rowOff>38100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139</xdr:row>
          <xdr:rowOff>276225</xdr:rowOff>
        </xdr:from>
        <xdr:to>
          <xdr:col>3</xdr:col>
          <xdr:colOff>123825</xdr:colOff>
          <xdr:row>141</xdr:row>
          <xdr:rowOff>28575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142</xdr:row>
          <xdr:rowOff>0</xdr:rowOff>
        </xdr:from>
        <xdr:to>
          <xdr:col>3</xdr:col>
          <xdr:colOff>142875</xdr:colOff>
          <xdr:row>143</xdr:row>
          <xdr:rowOff>47625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146</xdr:row>
          <xdr:rowOff>314325</xdr:rowOff>
        </xdr:from>
        <xdr:to>
          <xdr:col>3</xdr:col>
          <xdr:colOff>123825</xdr:colOff>
          <xdr:row>148</xdr:row>
          <xdr:rowOff>28575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149</xdr:row>
          <xdr:rowOff>142875</xdr:rowOff>
        </xdr:from>
        <xdr:to>
          <xdr:col>3</xdr:col>
          <xdr:colOff>142875</xdr:colOff>
          <xdr:row>151</xdr:row>
          <xdr:rowOff>47625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150</xdr:row>
          <xdr:rowOff>142875</xdr:rowOff>
        </xdr:from>
        <xdr:to>
          <xdr:col>3</xdr:col>
          <xdr:colOff>400050</xdr:colOff>
          <xdr:row>152</xdr:row>
          <xdr:rowOff>38100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152</xdr:row>
          <xdr:rowOff>133350</xdr:rowOff>
        </xdr:from>
        <xdr:to>
          <xdr:col>3</xdr:col>
          <xdr:colOff>409575</xdr:colOff>
          <xdr:row>154</xdr:row>
          <xdr:rowOff>28575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7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139</xdr:row>
          <xdr:rowOff>276225</xdr:rowOff>
        </xdr:from>
        <xdr:to>
          <xdr:col>13</xdr:col>
          <xdr:colOff>438150</xdr:colOff>
          <xdr:row>141</xdr:row>
          <xdr:rowOff>38100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7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32</xdr:row>
          <xdr:rowOff>133350</xdr:rowOff>
        </xdr:from>
        <xdr:to>
          <xdr:col>3</xdr:col>
          <xdr:colOff>190500</xdr:colOff>
          <xdr:row>34</xdr:row>
          <xdr:rowOff>19050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47625</xdr:rowOff>
        </xdr:from>
        <xdr:to>
          <xdr:col>3</xdr:col>
          <xdr:colOff>200025</xdr:colOff>
          <xdr:row>37</xdr:row>
          <xdr:rowOff>19050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57150</xdr:rowOff>
        </xdr:from>
        <xdr:to>
          <xdr:col>3</xdr:col>
          <xdr:colOff>209550</xdr:colOff>
          <xdr:row>44</xdr:row>
          <xdr:rowOff>28575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7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142875</xdr:rowOff>
        </xdr:from>
        <xdr:to>
          <xdr:col>3</xdr:col>
          <xdr:colOff>200025</xdr:colOff>
          <xdr:row>50</xdr:row>
          <xdr:rowOff>28575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7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0</xdr:rowOff>
        </xdr:from>
        <xdr:to>
          <xdr:col>3</xdr:col>
          <xdr:colOff>228600</xdr:colOff>
          <xdr:row>54</xdr:row>
          <xdr:rowOff>19050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7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171450</xdr:rowOff>
        </xdr:from>
        <xdr:to>
          <xdr:col>3</xdr:col>
          <xdr:colOff>228600</xdr:colOff>
          <xdr:row>59</xdr:row>
          <xdr:rowOff>28575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7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66675</xdr:rowOff>
        </xdr:from>
        <xdr:to>
          <xdr:col>3</xdr:col>
          <xdr:colOff>247650</xdr:colOff>
          <xdr:row>62</xdr:row>
          <xdr:rowOff>38100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7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32</xdr:row>
          <xdr:rowOff>152400</xdr:rowOff>
        </xdr:from>
        <xdr:to>
          <xdr:col>13</xdr:col>
          <xdr:colOff>466725</xdr:colOff>
          <xdr:row>34</xdr:row>
          <xdr:rowOff>19050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7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35</xdr:row>
          <xdr:rowOff>57150</xdr:rowOff>
        </xdr:from>
        <xdr:to>
          <xdr:col>13</xdr:col>
          <xdr:colOff>466725</xdr:colOff>
          <xdr:row>37</xdr:row>
          <xdr:rowOff>9525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7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161925</xdr:rowOff>
        </xdr:from>
        <xdr:to>
          <xdr:col>3</xdr:col>
          <xdr:colOff>238125</xdr:colOff>
          <xdr:row>65</xdr:row>
          <xdr:rowOff>19050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7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xdr:row>
          <xdr:rowOff>123825</xdr:rowOff>
        </xdr:from>
        <xdr:to>
          <xdr:col>3</xdr:col>
          <xdr:colOff>247650</xdr:colOff>
          <xdr:row>68</xdr:row>
          <xdr:rowOff>47625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7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xdr:row>
          <xdr:rowOff>161925</xdr:rowOff>
        </xdr:from>
        <xdr:to>
          <xdr:col>3</xdr:col>
          <xdr:colOff>238125</xdr:colOff>
          <xdr:row>71</xdr:row>
          <xdr:rowOff>19050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7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0</xdr:rowOff>
        </xdr:from>
        <xdr:to>
          <xdr:col>3</xdr:col>
          <xdr:colOff>228600</xdr:colOff>
          <xdr:row>73</xdr:row>
          <xdr:rowOff>47625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7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75</xdr:row>
          <xdr:rowOff>180975</xdr:rowOff>
        </xdr:from>
        <xdr:to>
          <xdr:col>3</xdr:col>
          <xdr:colOff>219075</xdr:colOff>
          <xdr:row>77</xdr:row>
          <xdr:rowOff>38100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7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0</xdr:rowOff>
        </xdr:from>
        <xdr:to>
          <xdr:col>3</xdr:col>
          <xdr:colOff>219075</xdr:colOff>
          <xdr:row>79</xdr:row>
          <xdr:rowOff>47625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7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80</xdr:row>
          <xdr:rowOff>142875</xdr:rowOff>
        </xdr:from>
        <xdr:to>
          <xdr:col>3</xdr:col>
          <xdr:colOff>219075</xdr:colOff>
          <xdr:row>82</xdr:row>
          <xdr:rowOff>47625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7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171450</xdr:rowOff>
        </xdr:from>
        <xdr:to>
          <xdr:col>3</xdr:col>
          <xdr:colOff>219075</xdr:colOff>
          <xdr:row>90</xdr:row>
          <xdr:rowOff>38100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7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90</xdr:row>
          <xdr:rowOff>142875</xdr:rowOff>
        </xdr:from>
        <xdr:to>
          <xdr:col>3</xdr:col>
          <xdr:colOff>219075</xdr:colOff>
          <xdr:row>92</xdr:row>
          <xdr:rowOff>57150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7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93</xdr:row>
          <xdr:rowOff>142875</xdr:rowOff>
        </xdr:from>
        <xdr:to>
          <xdr:col>3</xdr:col>
          <xdr:colOff>209550</xdr:colOff>
          <xdr:row>95</xdr:row>
          <xdr:rowOff>47625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7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98</xdr:row>
          <xdr:rowOff>123825</xdr:rowOff>
        </xdr:from>
        <xdr:to>
          <xdr:col>3</xdr:col>
          <xdr:colOff>219075</xdr:colOff>
          <xdr:row>100</xdr:row>
          <xdr:rowOff>47625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7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146</xdr:row>
          <xdr:rowOff>323850</xdr:rowOff>
        </xdr:from>
        <xdr:to>
          <xdr:col>13</xdr:col>
          <xdr:colOff>419100</xdr:colOff>
          <xdr:row>148</xdr:row>
          <xdr:rowOff>28575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7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157</xdr:row>
          <xdr:rowOff>314325</xdr:rowOff>
        </xdr:from>
        <xdr:to>
          <xdr:col>3</xdr:col>
          <xdr:colOff>123825</xdr:colOff>
          <xdr:row>159</xdr:row>
          <xdr:rowOff>28575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7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157</xdr:row>
          <xdr:rowOff>323850</xdr:rowOff>
        </xdr:from>
        <xdr:to>
          <xdr:col>13</xdr:col>
          <xdr:colOff>419100</xdr:colOff>
          <xdr:row>159</xdr:row>
          <xdr:rowOff>28575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7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162</xdr:row>
          <xdr:rowOff>314325</xdr:rowOff>
        </xdr:from>
        <xdr:to>
          <xdr:col>3</xdr:col>
          <xdr:colOff>123825</xdr:colOff>
          <xdr:row>164</xdr:row>
          <xdr:rowOff>28575</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7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165</xdr:row>
          <xdr:rowOff>142875</xdr:rowOff>
        </xdr:from>
        <xdr:to>
          <xdr:col>3</xdr:col>
          <xdr:colOff>142875</xdr:colOff>
          <xdr:row>167</xdr:row>
          <xdr:rowOff>47625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7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162</xdr:row>
          <xdr:rowOff>323850</xdr:rowOff>
        </xdr:from>
        <xdr:to>
          <xdr:col>13</xdr:col>
          <xdr:colOff>419100</xdr:colOff>
          <xdr:row>164</xdr:row>
          <xdr:rowOff>28575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7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riera\Downloads\Application%20form_v%201.5%202021-0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sheetName val="for Greases"/>
      <sheetName val="2.1"/>
      <sheetName val="2.2"/>
      <sheetName val="2 - Algae"/>
      <sheetName val="2 - Daphnia"/>
      <sheetName val="2 - Fish"/>
      <sheetName val="2 - Other"/>
      <sheetName val="3"/>
      <sheetName val="3 - Biodegradation"/>
      <sheetName val="3 - Bioaccumulation"/>
      <sheetName val="4(a)"/>
      <sheetName val="4(b)"/>
      <sheetName val=" 5(a) - Plastic Calculation"/>
      <sheetName val=" 5(a)(b) - Packaging"/>
      <sheetName val="6"/>
      <sheetName val="7 &amp; 8"/>
      <sheetName val="Confirmation"/>
      <sheetName val="CB"/>
      <sheetName val="S+L"/>
      <sheetName val="Tests"/>
      <sheetName val="List"/>
      <sheetName val="Versions"/>
    </sheetNames>
    <sheetDataSet>
      <sheetData sheetId="0">
        <row r="2">
          <cell r="H2" t="str">
            <v>English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t="str">
            <v>Deutsch</v>
          </cell>
        </row>
        <row r="253">
          <cell r="B253" t="str">
            <v xml:space="preserve">Firma: </v>
          </cell>
          <cell r="C253" t="str">
            <v>Company:</v>
          </cell>
        </row>
        <row r="254">
          <cell r="B254" t="str">
            <v xml:space="preserve">Position in der Firma: </v>
          </cell>
          <cell r="C254" t="str">
            <v>Position in company:</v>
          </cell>
        </row>
        <row r="255">
          <cell r="B255" t="str">
            <v xml:space="preserve">Datum: </v>
          </cell>
          <cell r="C255" t="str">
            <v>Date:</v>
          </cell>
        </row>
        <row r="256">
          <cell r="B256" t="str">
            <v xml:space="preserve">Unterschrift: </v>
          </cell>
          <cell r="C256" t="str">
            <v>Signature:</v>
          </cell>
        </row>
      </sheetData>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37"/>
  <sheetViews>
    <sheetView tabSelected="1" zoomScale="86" zoomScaleNormal="86" workbookViewId="0">
      <selection activeCell="H4" sqref="H4"/>
    </sheetView>
  </sheetViews>
  <sheetFormatPr defaultColWidth="11.42578125" defaultRowHeight="13.5" customHeight="1"/>
  <cols>
    <col min="1" max="2" width="2.5703125" style="268" customWidth="1"/>
    <col min="3" max="3" width="30.7109375" style="268" customWidth="1"/>
    <col min="4" max="4" width="25.7109375" style="268" customWidth="1"/>
    <col min="5" max="5" width="25.85546875" style="268" customWidth="1"/>
    <col min="6" max="6" width="20.7109375" style="268" customWidth="1"/>
    <col min="7" max="8" width="14.7109375" style="268" customWidth="1"/>
    <col min="9" max="9" width="22.85546875" style="268" customWidth="1"/>
    <col min="10" max="11" width="14" style="268" customWidth="1"/>
    <col min="12" max="12" width="2.5703125" style="268" customWidth="1"/>
    <col min="13" max="13" width="15.140625" style="268" customWidth="1"/>
    <col min="14" max="16384" width="11.42578125" style="268"/>
  </cols>
  <sheetData>
    <row r="2" spans="3:9" ht="13.5" customHeight="1">
      <c r="C2" s="129" t="s">
        <v>8</v>
      </c>
      <c r="D2" s="130" t="s">
        <v>551</v>
      </c>
      <c r="E2" s="3"/>
      <c r="F2" s="3"/>
      <c r="G2" s="3"/>
      <c r="H2" s="3"/>
      <c r="I2" s="3"/>
    </row>
    <row r="3" spans="3:9" ht="13.5" customHeight="1">
      <c r="C3" s="131" t="s">
        <v>543</v>
      </c>
      <c r="D3" s="285"/>
      <c r="E3" s="286"/>
      <c r="G3" s="132" t="s">
        <v>538</v>
      </c>
      <c r="H3" s="284"/>
    </row>
    <row r="4" spans="3:9" ht="13.5" customHeight="1">
      <c r="C4" s="132" t="s">
        <v>10</v>
      </c>
      <c r="D4" s="287" t="s">
        <v>552</v>
      </c>
      <c r="E4" s="288"/>
      <c r="G4" s="132" t="s">
        <v>539</v>
      </c>
      <c r="H4" s="284">
        <v>1.1000000000000001</v>
      </c>
    </row>
    <row r="5" spans="3:9" ht="13.5" customHeight="1">
      <c r="C5" s="259" t="s">
        <v>9</v>
      </c>
      <c r="D5" s="289" t="s">
        <v>553</v>
      </c>
      <c r="E5" s="290"/>
    </row>
    <row r="6" spans="3:9" ht="13.5" customHeight="1">
      <c r="C6" s="260" t="s">
        <v>544</v>
      </c>
      <c r="D6" s="296"/>
      <c r="E6" s="296"/>
      <c r="F6" s="269"/>
    </row>
    <row r="7" spans="3:9" ht="13.5" customHeight="1">
      <c r="C7" s="131" t="s">
        <v>545</v>
      </c>
      <c r="D7" s="294"/>
      <c r="E7" s="295"/>
    </row>
    <row r="9" spans="3:9" ht="38.25">
      <c r="C9" s="261" t="s">
        <v>540</v>
      </c>
      <c r="D9" s="261" t="s">
        <v>546</v>
      </c>
      <c r="E9" s="263" t="s">
        <v>547</v>
      </c>
      <c r="F9" s="261" t="s">
        <v>541</v>
      </c>
      <c r="G9" s="293" t="s">
        <v>548</v>
      </c>
      <c r="H9" s="293"/>
    </row>
    <row r="10" spans="3:9" ht="13.5" customHeight="1">
      <c r="C10" s="284"/>
      <c r="D10" s="284"/>
      <c r="E10" s="284"/>
      <c r="F10" s="284"/>
      <c r="G10" s="291"/>
      <c r="H10" s="292"/>
    </row>
    <row r="11" spans="3:9" ht="13.5" customHeight="1">
      <c r="C11" s="284"/>
      <c r="D11" s="284"/>
      <c r="E11" s="284"/>
      <c r="F11" s="284"/>
      <c r="G11" s="291"/>
      <c r="H11" s="292"/>
    </row>
    <row r="12" spans="3:9" ht="13.5" customHeight="1">
      <c r="C12" s="284"/>
      <c r="D12" s="284"/>
      <c r="E12" s="284"/>
      <c r="F12" s="284"/>
      <c r="G12" s="291"/>
      <c r="H12" s="292"/>
    </row>
    <row r="13" spans="3:9" ht="13.5" customHeight="1">
      <c r="C13" s="284"/>
      <c r="D13" s="284"/>
      <c r="E13" s="284"/>
      <c r="F13" s="284"/>
      <c r="G13" s="291"/>
      <c r="H13" s="292"/>
    </row>
    <row r="14" spans="3:9" ht="13.5" customHeight="1">
      <c r="C14" s="284"/>
      <c r="D14" s="284"/>
      <c r="E14" s="284"/>
      <c r="F14" s="284"/>
      <c r="G14" s="291"/>
      <c r="H14" s="292"/>
    </row>
    <row r="15" spans="3:9" ht="13.5" customHeight="1">
      <c r="C15" s="284"/>
      <c r="D15" s="284"/>
      <c r="E15" s="284"/>
      <c r="F15" s="284"/>
      <c r="G15" s="291"/>
      <c r="H15" s="292"/>
    </row>
    <row r="16" spans="3:9" ht="13.5" customHeight="1">
      <c r="C16" s="284"/>
      <c r="D16" s="284"/>
      <c r="E16" s="284"/>
      <c r="F16" s="284"/>
      <c r="G16" s="291"/>
      <c r="H16" s="292"/>
    </row>
    <row r="17" spans="2:13" ht="13.5" customHeight="1">
      <c r="C17" s="284"/>
      <c r="D17" s="284"/>
      <c r="E17" s="284"/>
      <c r="F17" s="284"/>
      <c r="G17" s="291"/>
      <c r="H17" s="292"/>
    </row>
    <row r="18" spans="2:13" ht="13.5" customHeight="1">
      <c r="C18" s="284"/>
      <c r="D18" s="284"/>
      <c r="E18" s="284"/>
      <c r="F18" s="284"/>
      <c r="G18" s="291"/>
      <c r="H18" s="292"/>
    </row>
    <row r="19" spans="2:13" ht="13.5" customHeight="1">
      <c r="C19" s="284"/>
      <c r="D19" s="284"/>
      <c r="E19" s="284"/>
      <c r="F19" s="284"/>
      <c r="G19" s="291"/>
      <c r="H19" s="292"/>
    </row>
    <row r="20" spans="2:13" ht="13.5" customHeight="1">
      <c r="C20" s="284"/>
      <c r="D20" s="284"/>
      <c r="E20" s="284"/>
      <c r="F20" s="284"/>
      <c r="G20" s="291"/>
      <c r="H20" s="292"/>
    </row>
    <row r="21" spans="2:13" ht="13.5" customHeight="1">
      <c r="C21" s="284"/>
      <c r="D21" s="284"/>
      <c r="E21" s="284"/>
      <c r="F21" s="284"/>
      <c r="G21" s="291"/>
      <c r="H21" s="292"/>
    </row>
    <row r="22" spans="2:13" ht="13.5" customHeight="1">
      <c r="C22" s="284"/>
      <c r="D22" s="284"/>
      <c r="E22" s="284"/>
      <c r="F22" s="284"/>
      <c r="G22" s="291"/>
      <c r="H22" s="292"/>
    </row>
    <row r="23" spans="2:13" thickBot="1">
      <c r="F23" s="270"/>
      <c r="G23" s="270"/>
      <c r="H23" s="270"/>
      <c r="I23" s="270"/>
      <c r="J23" s="270"/>
    </row>
    <row r="24" spans="2:13" ht="13.5" customHeight="1" thickBot="1">
      <c r="B24" s="262"/>
      <c r="C24" s="271" t="s">
        <v>550</v>
      </c>
      <c r="D24" s="272"/>
      <c r="E24" s="272"/>
      <c r="F24" s="272"/>
      <c r="G24" s="272"/>
      <c r="H24" s="273"/>
      <c r="I24" s="274"/>
      <c r="J24" s="274"/>
      <c r="K24" s="274"/>
    </row>
    <row r="25" spans="2:13" thickBot="1">
      <c r="F25" s="270"/>
      <c r="G25" s="270"/>
      <c r="H25" s="270"/>
      <c r="I25" s="270"/>
      <c r="J25" s="270"/>
    </row>
    <row r="26" spans="2:13" thickBot="1">
      <c r="B26" s="264"/>
      <c r="C26" s="301" t="s">
        <v>549</v>
      </c>
      <c r="D26" s="302"/>
      <c r="E26" s="302"/>
      <c r="F26" s="302"/>
      <c r="G26" s="302"/>
      <c r="H26" s="303"/>
      <c r="I26" s="275"/>
      <c r="J26" s="275"/>
      <c r="K26" s="275"/>
      <c r="L26" s="276"/>
      <c r="M26" s="276"/>
    </row>
    <row r="27" spans="2:13" ht="13.5" customHeight="1">
      <c r="B27" s="277"/>
      <c r="C27" s="278"/>
      <c r="D27" s="278"/>
      <c r="E27" s="278"/>
      <c r="F27" s="278"/>
      <c r="G27" s="278"/>
      <c r="H27" s="278"/>
      <c r="I27" s="278"/>
      <c r="J27" s="278"/>
      <c r="K27" s="278"/>
      <c r="L27" s="276"/>
      <c r="M27" s="276"/>
    </row>
    <row r="28" spans="2:13" thickBot="1"/>
    <row r="29" spans="2:13" thickBot="1">
      <c r="C29" s="279" t="s">
        <v>537</v>
      </c>
      <c r="D29" s="299"/>
      <c r="E29" s="300"/>
      <c r="F29" s="280" t="str">
        <f>IF([1]Info!H2='[1]S+L'!$B$1,'[1]S+L'!$B$253,'[1]S+L'!$C$253)</f>
        <v>Company:</v>
      </c>
      <c r="G29" s="264"/>
      <c r="H29" s="256"/>
      <c r="I29" s="265"/>
    </row>
    <row r="30" spans="2:13" thickBot="1">
      <c r="C30" s="279"/>
      <c r="D30" s="279"/>
      <c r="E30" s="281"/>
      <c r="F30" s="281"/>
      <c r="G30" s="281"/>
      <c r="H30" s="281"/>
      <c r="I30" s="281"/>
    </row>
    <row r="31" spans="2:13" thickBot="1">
      <c r="C31" s="297" t="str">
        <f>IF([1]Info!H2='[1]S+L'!$B$1,'[1]S+L'!$B$254,'[1]S+L'!$C$254)</f>
        <v>Position in company:</v>
      </c>
      <c r="D31" s="298"/>
      <c r="E31" s="313"/>
      <c r="F31" s="314"/>
      <c r="G31" s="314"/>
      <c r="H31" s="314"/>
      <c r="I31" s="315"/>
    </row>
    <row r="32" spans="2:13" thickBot="1">
      <c r="C32" s="279"/>
      <c r="D32" s="279"/>
      <c r="E32" s="281"/>
      <c r="F32" s="281"/>
      <c r="G32" s="281"/>
      <c r="H32" s="281"/>
      <c r="I32" s="281"/>
    </row>
    <row r="33" spans="3:9" ht="13.5" customHeight="1">
      <c r="C33" s="279"/>
      <c r="D33" s="279"/>
      <c r="E33" s="270"/>
      <c r="F33" s="270"/>
      <c r="G33" s="304"/>
      <c r="H33" s="305"/>
      <c r="I33" s="306"/>
    </row>
    <row r="34" spans="3:9" thickBot="1">
      <c r="C34" s="279"/>
      <c r="D34" s="279"/>
      <c r="E34" s="270"/>
      <c r="F34" s="270"/>
      <c r="G34" s="307"/>
      <c r="H34" s="308"/>
      <c r="I34" s="309"/>
    </row>
    <row r="35" spans="3:9" thickBot="1">
      <c r="C35" s="282" t="str">
        <f>IF([1]Info!H2='[1]S+L'!$B$1,'[1]S+L'!$B$255,'[1]S+L'!$C$255)</f>
        <v>Date:</v>
      </c>
      <c r="D35" s="299"/>
      <c r="E35" s="300"/>
      <c r="F35" s="282" t="str">
        <f>IF([1]Info!H2='[1]S+L'!$B$1,'[1]S+L'!$B$256,'[1]S+L'!$C$256)</f>
        <v>Signature:</v>
      </c>
      <c r="G35" s="310"/>
      <c r="H35" s="311"/>
      <c r="I35" s="312"/>
    </row>
    <row r="36" spans="3:9" ht="13.5" customHeight="1">
      <c r="F36" s="283"/>
    </row>
    <row r="37" spans="3:9" ht="13.5" customHeight="1">
      <c r="F37" s="283"/>
    </row>
  </sheetData>
  <sheetProtection algorithmName="SHA-512" hashValue="/sPgQJclOhycL/qBZeV6Br45FeigSU8QZlg00UdD/8jr+875WhzLeUtWbMy0OwhyzT7fkEl58G+0mCxjaP1cdA==" saltValue="6S6dMw6AUufmG8BkHhjpfg==" spinCount="100000" sheet="1" objects="1" scenarios="1" selectLockedCells="1"/>
  <mergeCells count="25">
    <mergeCell ref="G15:H15"/>
    <mergeCell ref="C31:D31"/>
    <mergeCell ref="D35:E35"/>
    <mergeCell ref="G16:H16"/>
    <mergeCell ref="G17:H17"/>
    <mergeCell ref="G18:H18"/>
    <mergeCell ref="G19:H19"/>
    <mergeCell ref="G20:H20"/>
    <mergeCell ref="C26:H26"/>
    <mergeCell ref="D29:E29"/>
    <mergeCell ref="G33:I35"/>
    <mergeCell ref="E31:I31"/>
    <mergeCell ref="G21:H21"/>
    <mergeCell ref="G22:H22"/>
    <mergeCell ref="D3:E3"/>
    <mergeCell ref="D4:E4"/>
    <mergeCell ref="D5:E5"/>
    <mergeCell ref="G14:H14"/>
    <mergeCell ref="G9:H9"/>
    <mergeCell ref="G10:H10"/>
    <mergeCell ref="G11:H11"/>
    <mergeCell ref="G12:H12"/>
    <mergeCell ref="G13:H13"/>
    <mergeCell ref="D7:E7"/>
    <mergeCell ref="D6:E6"/>
  </mergeCells>
  <dataValidations count="1">
    <dataValidation showInputMessage="1" showErrorMessage="1" sqref="D4:E5" xr:uid="{00000000-0002-0000-0000-000000000000}"/>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2:K72"/>
  <sheetViews>
    <sheetView zoomScaleNormal="100" workbookViewId="0">
      <selection activeCell="H21" sqref="H21"/>
    </sheetView>
  </sheetViews>
  <sheetFormatPr defaultColWidth="11.42578125" defaultRowHeight="12.75"/>
  <cols>
    <col min="1" max="1" width="3.42578125" style="22" customWidth="1"/>
    <col min="2" max="2" width="4.5703125" style="22" customWidth="1"/>
    <col min="3" max="7" width="11.42578125" style="22"/>
    <col min="8" max="9" width="12.5703125" style="22" customWidth="1"/>
    <col min="10" max="16384" width="11.42578125" style="22"/>
  </cols>
  <sheetData>
    <row r="2" spans="1:11" ht="20.25">
      <c r="A2" s="134" t="s">
        <v>462</v>
      </c>
    </row>
    <row r="4" spans="1:11" ht="15">
      <c r="B4" s="135" t="s">
        <v>463</v>
      </c>
      <c r="C4" s="63"/>
      <c r="D4" s="63"/>
      <c r="E4" s="63"/>
      <c r="F4" s="63"/>
      <c r="G4" s="63"/>
      <c r="H4" s="63"/>
      <c r="I4" s="63"/>
      <c r="J4" s="63"/>
      <c r="K4" s="63"/>
    </row>
    <row r="5" spans="1:11" ht="12.75" customHeight="1">
      <c r="B5" s="447" t="s">
        <v>464</v>
      </c>
      <c r="C5" s="447"/>
      <c r="D5" s="447"/>
      <c r="E5" s="447"/>
      <c r="F5" s="447"/>
      <c r="G5" s="447"/>
      <c r="H5" s="447"/>
      <c r="I5" s="447"/>
      <c r="J5" s="447"/>
      <c r="K5" s="447"/>
    </row>
    <row r="6" spans="1:11">
      <c r="B6" s="447"/>
      <c r="C6" s="447"/>
      <c r="D6" s="447"/>
      <c r="E6" s="447"/>
      <c r="F6" s="447"/>
      <c r="G6" s="447"/>
      <c r="H6" s="447"/>
      <c r="I6" s="447"/>
      <c r="J6" s="447"/>
      <c r="K6" s="447"/>
    </row>
    <row r="8" spans="1:11">
      <c r="B8" s="136" t="s">
        <v>465</v>
      </c>
      <c r="C8" s="137"/>
      <c r="D8" s="137"/>
      <c r="E8" s="137"/>
      <c r="F8" s="137"/>
      <c r="G8" s="137"/>
      <c r="H8" s="137"/>
      <c r="I8" s="137"/>
      <c r="J8" s="137"/>
    </row>
    <row r="10" spans="1:11">
      <c r="B10" s="138" t="s">
        <v>466</v>
      </c>
      <c r="C10" s="63"/>
      <c r="D10" s="63"/>
      <c r="E10" s="63"/>
      <c r="F10" s="63"/>
      <c r="G10" s="63"/>
      <c r="H10" s="63"/>
      <c r="I10" s="63"/>
      <c r="J10" s="63"/>
      <c r="K10" s="63"/>
    </row>
    <row r="11" spans="1:11" ht="25.5" customHeight="1">
      <c r="B11" s="448" t="s">
        <v>467</v>
      </c>
      <c r="C11" s="448"/>
      <c r="D11" s="448"/>
      <c r="E11" s="448"/>
      <c r="F11" s="448"/>
      <c r="G11" s="448"/>
      <c r="H11" s="448"/>
      <c r="I11" s="448"/>
      <c r="J11" s="448"/>
      <c r="K11" s="448"/>
    </row>
    <row r="13" spans="1:11">
      <c r="B13" s="139" t="s">
        <v>468</v>
      </c>
    </row>
    <row r="14" spans="1:11" ht="39" customHeight="1">
      <c r="B14" s="140" t="s">
        <v>473</v>
      </c>
      <c r="C14" s="367" t="s">
        <v>472</v>
      </c>
      <c r="D14" s="367"/>
      <c r="E14" s="367"/>
      <c r="F14" s="367"/>
      <c r="G14" s="367"/>
      <c r="H14" s="367"/>
      <c r="I14" s="367"/>
      <c r="J14" s="367"/>
      <c r="K14" s="367"/>
    </row>
    <row r="15" spans="1:11">
      <c r="B15" s="140" t="s">
        <v>473</v>
      </c>
      <c r="C15" s="22" t="s">
        <v>469</v>
      </c>
    </row>
    <row r="16" spans="1:11" s="122" customFormat="1" ht="25.5" customHeight="1">
      <c r="B16" s="141" t="s">
        <v>473</v>
      </c>
      <c r="C16" s="367" t="s">
        <v>470</v>
      </c>
      <c r="D16" s="367"/>
      <c r="E16" s="367"/>
      <c r="F16" s="367"/>
      <c r="G16" s="367"/>
      <c r="H16" s="367"/>
      <c r="I16" s="367"/>
      <c r="J16" s="367"/>
      <c r="K16" s="367"/>
    </row>
    <row r="17" spans="2:11">
      <c r="B17" s="140" t="s">
        <v>473</v>
      </c>
      <c r="C17" s="22" t="s">
        <v>471</v>
      </c>
    </row>
    <row r="19" spans="2:11">
      <c r="B19" s="139" t="s">
        <v>474</v>
      </c>
    </row>
    <row r="20" spans="2:11" ht="38.25" customHeight="1">
      <c r="B20" s="140" t="s">
        <v>473</v>
      </c>
      <c r="C20" s="367" t="s">
        <v>476</v>
      </c>
      <c r="D20" s="367"/>
      <c r="E20" s="367"/>
      <c r="F20" s="367"/>
      <c r="G20" s="367"/>
      <c r="H20" s="367"/>
      <c r="I20" s="367"/>
      <c r="J20" s="367"/>
      <c r="K20" s="367"/>
    </row>
    <row r="21" spans="2:11">
      <c r="B21" s="140" t="s">
        <v>473</v>
      </c>
      <c r="C21" s="22" t="s">
        <v>469</v>
      </c>
    </row>
    <row r="22" spans="2:11">
      <c r="B22" s="140" t="s">
        <v>473</v>
      </c>
      <c r="C22" s="22" t="s">
        <v>475</v>
      </c>
    </row>
    <row r="23" spans="2:11">
      <c r="B23" s="140" t="s">
        <v>473</v>
      </c>
      <c r="C23" s="22" t="s">
        <v>475</v>
      </c>
    </row>
    <row r="25" spans="2:11">
      <c r="B25" s="138" t="s">
        <v>477</v>
      </c>
      <c r="C25" s="63"/>
      <c r="D25" s="63"/>
      <c r="E25" s="63"/>
      <c r="F25" s="63"/>
      <c r="G25" s="63"/>
      <c r="H25" s="63"/>
      <c r="I25" s="63"/>
      <c r="J25" s="63"/>
      <c r="K25" s="63"/>
    </row>
    <row r="26" spans="2:11" ht="26.25" customHeight="1">
      <c r="B26" s="445" t="s">
        <v>478</v>
      </c>
      <c r="C26" s="445"/>
      <c r="D26" s="445"/>
      <c r="E26" s="445"/>
      <c r="F26" s="445"/>
      <c r="G26" s="445"/>
      <c r="H26" s="445"/>
      <c r="I26" s="445"/>
      <c r="J26" s="445"/>
      <c r="K26" s="445"/>
    </row>
    <row r="28" spans="2:11" ht="25.5">
      <c r="C28" s="421" t="s">
        <v>479</v>
      </c>
      <c r="D28" s="421"/>
      <c r="E28" s="421"/>
      <c r="F28" s="421"/>
      <c r="G28" s="421"/>
      <c r="H28" s="142" t="s">
        <v>492</v>
      </c>
      <c r="I28" s="142" t="s">
        <v>493</v>
      </c>
    </row>
    <row r="29" spans="2:11" ht="12.75" customHeight="1">
      <c r="C29" s="444" t="s">
        <v>487</v>
      </c>
      <c r="D29" s="444"/>
      <c r="E29" s="444"/>
      <c r="F29" s="444"/>
      <c r="G29" s="444"/>
      <c r="H29" s="108">
        <v>10000</v>
      </c>
      <c r="I29" s="108" t="s">
        <v>480</v>
      </c>
    </row>
    <row r="30" spans="2:11" ht="25.5" customHeight="1">
      <c r="C30" s="444" t="s">
        <v>482</v>
      </c>
      <c r="D30" s="444"/>
      <c r="E30" s="444"/>
      <c r="F30" s="444"/>
      <c r="G30" s="444"/>
      <c r="H30" s="108">
        <v>5000</v>
      </c>
      <c r="I30" s="108" t="s">
        <v>481</v>
      </c>
    </row>
    <row r="31" spans="2:11" ht="26.25" customHeight="1">
      <c r="C31" s="444" t="s">
        <v>489</v>
      </c>
      <c r="D31" s="444"/>
      <c r="E31" s="444"/>
      <c r="F31" s="444"/>
      <c r="G31" s="444"/>
      <c r="H31" s="108">
        <v>1000</v>
      </c>
      <c r="I31" s="108" t="s">
        <v>483</v>
      </c>
    </row>
    <row r="32" spans="2:11" ht="12.75" customHeight="1">
      <c r="C32" s="444" t="s">
        <v>484</v>
      </c>
      <c r="D32" s="444"/>
      <c r="E32" s="444"/>
      <c r="F32" s="444"/>
      <c r="G32" s="444"/>
      <c r="H32" s="108">
        <v>100</v>
      </c>
      <c r="I32" s="108" t="s">
        <v>485</v>
      </c>
    </row>
    <row r="33" spans="2:11" ht="25.5" customHeight="1">
      <c r="C33" s="444" t="s">
        <v>490</v>
      </c>
      <c r="D33" s="444"/>
      <c r="E33" s="444"/>
      <c r="F33" s="444"/>
      <c r="G33" s="444"/>
      <c r="H33" s="108">
        <v>50</v>
      </c>
      <c r="I33" s="108" t="s">
        <v>486</v>
      </c>
    </row>
    <row r="34" spans="2:11" ht="25.5" customHeight="1">
      <c r="C34" s="444" t="s">
        <v>491</v>
      </c>
      <c r="D34" s="444"/>
      <c r="E34" s="444"/>
      <c r="F34" s="444"/>
      <c r="G34" s="444"/>
      <c r="H34" s="108">
        <v>10</v>
      </c>
      <c r="I34" s="108" t="s">
        <v>488</v>
      </c>
    </row>
    <row r="35" spans="2:11" ht="25.5" customHeight="1">
      <c r="C35" s="445" t="s">
        <v>494</v>
      </c>
      <c r="D35" s="445"/>
      <c r="E35" s="445"/>
      <c r="F35" s="445"/>
      <c r="G35" s="445"/>
      <c r="H35" s="445"/>
      <c r="I35" s="445"/>
      <c r="J35" s="137"/>
      <c r="K35" s="137"/>
    </row>
    <row r="37" spans="2:11">
      <c r="B37" s="138" t="s">
        <v>495</v>
      </c>
      <c r="C37" s="138"/>
      <c r="D37" s="138"/>
      <c r="E37" s="138"/>
      <c r="F37" s="138"/>
      <c r="G37" s="138"/>
      <c r="H37" s="138"/>
      <c r="I37" s="138"/>
      <c r="J37" s="138"/>
      <c r="K37" s="138"/>
    </row>
    <row r="38" spans="2:11">
      <c r="B38" s="22" t="s">
        <v>496</v>
      </c>
    </row>
    <row r="40" spans="2:11">
      <c r="C40" s="421" t="s">
        <v>497</v>
      </c>
      <c r="D40" s="421"/>
      <c r="E40" s="421"/>
      <c r="F40" s="421"/>
      <c r="G40" s="124" t="s">
        <v>501</v>
      </c>
    </row>
    <row r="41" spans="2:11">
      <c r="C41" s="446" t="s">
        <v>456</v>
      </c>
      <c r="D41" s="446"/>
      <c r="E41" s="446"/>
      <c r="F41" s="446"/>
      <c r="G41" s="143" t="s">
        <v>46</v>
      </c>
    </row>
    <row r="42" spans="2:11">
      <c r="C42" s="446" t="s">
        <v>498</v>
      </c>
      <c r="D42" s="446"/>
      <c r="E42" s="446"/>
      <c r="F42" s="446"/>
      <c r="G42" s="143" t="s">
        <v>66</v>
      </c>
    </row>
    <row r="43" spans="2:11">
      <c r="C43" s="446" t="s">
        <v>499</v>
      </c>
      <c r="D43" s="446"/>
      <c r="E43" s="446"/>
      <c r="F43" s="446"/>
      <c r="G43" s="143" t="s">
        <v>139</v>
      </c>
    </row>
    <row r="44" spans="2:11">
      <c r="C44" s="446" t="s">
        <v>500</v>
      </c>
      <c r="D44" s="446"/>
      <c r="E44" s="446"/>
      <c r="F44" s="446"/>
      <c r="G44" s="143" t="s">
        <v>52</v>
      </c>
    </row>
    <row r="46" spans="2:11" ht="25.5" customHeight="1">
      <c r="B46" s="447" t="s">
        <v>510</v>
      </c>
      <c r="C46" s="447"/>
      <c r="D46" s="447"/>
      <c r="E46" s="447"/>
      <c r="F46" s="447"/>
      <c r="G46" s="447"/>
      <c r="H46" s="447"/>
      <c r="I46" s="447"/>
      <c r="J46" s="447"/>
      <c r="K46" s="447"/>
    </row>
    <row r="48" spans="2:11">
      <c r="B48" s="138" t="s">
        <v>502</v>
      </c>
      <c r="C48" s="63"/>
      <c r="D48" s="63"/>
      <c r="E48" s="63"/>
      <c r="F48" s="63"/>
      <c r="G48" s="63"/>
      <c r="H48" s="63"/>
      <c r="I48" s="63"/>
      <c r="J48" s="63"/>
      <c r="K48" s="63"/>
    </row>
    <row r="49" spans="2:11">
      <c r="B49" s="22" t="s">
        <v>503</v>
      </c>
    </row>
    <row r="51" spans="2:11">
      <c r="C51" s="443" t="s">
        <v>497</v>
      </c>
      <c r="D51" s="443"/>
      <c r="E51" s="144" t="s">
        <v>501</v>
      </c>
    </row>
    <row r="52" spans="2:11">
      <c r="C52" s="446" t="s">
        <v>504</v>
      </c>
      <c r="D52" s="446"/>
      <c r="E52" s="143">
        <v>0.05</v>
      </c>
    </row>
    <row r="53" spans="2:11">
      <c r="C53" s="446" t="s">
        <v>505</v>
      </c>
      <c r="D53" s="446"/>
      <c r="E53" s="143">
        <v>0.15</v>
      </c>
    </row>
    <row r="54" spans="2:11">
      <c r="C54" s="446" t="s">
        <v>506</v>
      </c>
      <c r="D54" s="446"/>
      <c r="E54" s="143">
        <v>0.5</v>
      </c>
    </row>
    <row r="55" spans="2:11">
      <c r="C55" s="446" t="s">
        <v>507</v>
      </c>
      <c r="D55" s="446"/>
      <c r="E55" s="143">
        <v>1</v>
      </c>
    </row>
    <row r="56" spans="2:11" s="122" customFormat="1" ht="25.5" customHeight="1">
      <c r="C56" s="367" t="s">
        <v>508</v>
      </c>
      <c r="D56" s="367"/>
      <c r="E56" s="367"/>
      <c r="F56" s="367"/>
      <c r="G56" s="367"/>
      <c r="H56" s="367"/>
      <c r="I56" s="367"/>
      <c r="J56" s="367"/>
      <c r="K56" s="367"/>
    </row>
    <row r="57" spans="2:11" ht="38.25" customHeight="1">
      <c r="B57" s="137"/>
      <c r="C57" s="367" t="s">
        <v>509</v>
      </c>
      <c r="D57" s="367"/>
      <c r="E57" s="367"/>
      <c r="F57" s="367"/>
      <c r="G57" s="367"/>
      <c r="H57" s="367"/>
      <c r="I57" s="367"/>
      <c r="J57" s="367"/>
      <c r="K57" s="367"/>
    </row>
    <row r="59" spans="2:11">
      <c r="B59" s="138" t="s">
        <v>511</v>
      </c>
      <c r="C59" s="138"/>
      <c r="D59" s="138"/>
      <c r="E59" s="138"/>
      <c r="F59" s="138"/>
      <c r="G59" s="138"/>
      <c r="H59" s="138"/>
      <c r="I59" s="138"/>
      <c r="J59" s="138"/>
      <c r="K59" s="138"/>
    </row>
    <row r="60" spans="2:11">
      <c r="B60" s="22" t="s">
        <v>496</v>
      </c>
    </row>
    <row r="61" spans="2:11">
      <c r="C61" s="443" t="s">
        <v>515</v>
      </c>
      <c r="D61" s="443"/>
      <c r="E61" s="443"/>
      <c r="F61" s="443"/>
      <c r="G61" s="124" t="s">
        <v>501</v>
      </c>
    </row>
    <row r="62" spans="2:11" ht="25.5" customHeight="1">
      <c r="C62" s="444" t="s">
        <v>512</v>
      </c>
      <c r="D62" s="444"/>
      <c r="E62" s="444"/>
      <c r="F62" s="444"/>
      <c r="G62" s="108" t="s">
        <v>47</v>
      </c>
    </row>
    <row r="63" spans="2:11" ht="39" customHeight="1">
      <c r="C63" s="444" t="s">
        <v>514</v>
      </c>
      <c r="D63" s="444"/>
      <c r="E63" s="444"/>
      <c r="F63" s="444"/>
      <c r="G63" s="108" t="s">
        <v>50</v>
      </c>
    </row>
    <row r="64" spans="2:11">
      <c r="C64" s="444" t="s">
        <v>513</v>
      </c>
      <c r="D64" s="444"/>
      <c r="E64" s="444"/>
      <c r="F64" s="444"/>
      <c r="G64" s="108">
        <v>0</v>
      </c>
    </row>
    <row r="66" spans="2:11" ht="25.5" customHeight="1">
      <c r="B66" s="367" t="s">
        <v>516</v>
      </c>
      <c r="C66" s="367"/>
      <c r="D66" s="367"/>
      <c r="E66" s="367"/>
      <c r="F66" s="367"/>
      <c r="G66" s="367"/>
      <c r="H66" s="367"/>
      <c r="I66" s="367"/>
      <c r="J66" s="367"/>
      <c r="K66" s="367"/>
    </row>
    <row r="67" spans="2:11">
      <c r="B67" s="145" t="s">
        <v>473</v>
      </c>
      <c r="C67" s="22" t="s">
        <v>519</v>
      </c>
    </row>
    <row r="68" spans="2:11">
      <c r="B68" s="145" t="s">
        <v>473</v>
      </c>
      <c r="C68" s="22" t="s">
        <v>517</v>
      </c>
    </row>
    <row r="69" spans="2:11">
      <c r="B69" s="145" t="s">
        <v>473</v>
      </c>
      <c r="C69" s="22" t="s">
        <v>518</v>
      </c>
    </row>
    <row r="71" spans="2:11">
      <c r="B71" s="138" t="s">
        <v>520</v>
      </c>
      <c r="C71" s="63"/>
      <c r="D71" s="63"/>
      <c r="E71" s="63"/>
      <c r="F71" s="63"/>
      <c r="G71" s="63"/>
      <c r="H71" s="63"/>
      <c r="I71" s="63"/>
      <c r="J71" s="63"/>
      <c r="K71" s="63"/>
    </row>
    <row r="72" spans="2:11">
      <c r="B72" s="22" t="s">
        <v>521</v>
      </c>
    </row>
  </sheetData>
  <sheetProtection algorithmName="SHA-512" hashValue="aIZyQM/CzmlfRgigliu60faFbKy7jiV9suDgeUju53nkXNWJmfczB0F6RSb2Od/Y2HWtbjqcnW/K820sDIFo+A==" saltValue="t8jbEPi6+Yc456vukRadDw==" spinCount="100000" sheet="1" objects="1" scenarios="1" selectLockedCells="1" selectUnlockedCells="1"/>
  <mergeCells count="32">
    <mergeCell ref="B5:K6"/>
    <mergeCell ref="B11:K11"/>
    <mergeCell ref="B26:K26"/>
    <mergeCell ref="C20:K20"/>
    <mergeCell ref="C14:K14"/>
    <mergeCell ref="C16:K16"/>
    <mergeCell ref="C56:K56"/>
    <mergeCell ref="C57:K57"/>
    <mergeCell ref="B46:K46"/>
    <mergeCell ref="C40:F40"/>
    <mergeCell ref="C41:F41"/>
    <mergeCell ref="C42:F42"/>
    <mergeCell ref="C43:F43"/>
    <mergeCell ref="C51:D51"/>
    <mergeCell ref="C52:D52"/>
    <mergeCell ref="C53:D53"/>
    <mergeCell ref="C54:D54"/>
    <mergeCell ref="C55:D55"/>
    <mergeCell ref="C35:I35"/>
    <mergeCell ref="C44:F44"/>
    <mergeCell ref="C33:G33"/>
    <mergeCell ref="C34:G34"/>
    <mergeCell ref="C28:G28"/>
    <mergeCell ref="C29:G29"/>
    <mergeCell ref="C30:G30"/>
    <mergeCell ref="C31:G31"/>
    <mergeCell ref="C32:G32"/>
    <mergeCell ref="C61:F61"/>
    <mergeCell ref="C62:F62"/>
    <mergeCell ref="C63:F63"/>
    <mergeCell ref="C64:F64"/>
    <mergeCell ref="B66:K6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2:B32"/>
  <sheetViews>
    <sheetView zoomScaleNormal="100" workbookViewId="0">
      <selection sqref="A1:XFD1048576"/>
    </sheetView>
  </sheetViews>
  <sheetFormatPr defaultColWidth="11.42578125" defaultRowHeight="12.75"/>
  <cols>
    <col min="1" max="1" width="16.85546875" style="266" customWidth="1"/>
    <col min="2" max="2" width="56" customWidth="1"/>
    <col min="3" max="3" width="12.7109375" bestFit="1" customWidth="1"/>
    <col min="8" max="8" width="68.140625" bestFit="1" customWidth="1"/>
  </cols>
  <sheetData>
    <row r="2" spans="1:2">
      <c r="A2" s="449" t="s">
        <v>27</v>
      </c>
      <c r="B2" t="s">
        <v>25</v>
      </c>
    </row>
    <row r="3" spans="1:2">
      <c r="A3" s="449"/>
      <c r="B3" t="s">
        <v>333</v>
      </c>
    </row>
    <row r="4" spans="1:2">
      <c r="A4" s="449"/>
      <c r="B4" t="s">
        <v>332</v>
      </c>
    </row>
    <row r="5" spans="1:2">
      <c r="A5" s="449"/>
      <c r="B5" t="s">
        <v>331</v>
      </c>
    </row>
    <row r="6" spans="1:2">
      <c r="A6" s="449"/>
      <c r="B6" t="s">
        <v>299</v>
      </c>
    </row>
    <row r="8" spans="1:2">
      <c r="A8" s="449" t="s">
        <v>31</v>
      </c>
      <c r="B8" t="s">
        <v>29</v>
      </c>
    </row>
    <row r="9" spans="1:2">
      <c r="A9" s="449"/>
      <c r="B9" t="s">
        <v>30</v>
      </c>
    </row>
    <row r="10" spans="1:2">
      <c r="A10" s="449"/>
      <c r="B10" t="s">
        <v>399</v>
      </c>
    </row>
    <row r="12" spans="1:2">
      <c r="A12" s="449" t="s">
        <v>329</v>
      </c>
      <c r="B12" t="s">
        <v>326</v>
      </c>
    </row>
    <row r="13" spans="1:2">
      <c r="A13" s="449"/>
      <c r="B13" t="s">
        <v>327</v>
      </c>
    </row>
    <row r="14" spans="1:2">
      <c r="A14" s="449"/>
      <c r="B14" t="s">
        <v>328</v>
      </c>
    </row>
    <row r="16" spans="1:2">
      <c r="A16" s="449"/>
      <c r="B16" t="s">
        <v>389</v>
      </c>
    </row>
    <row r="17" spans="1:2">
      <c r="A17" s="449"/>
      <c r="B17" t="s">
        <v>390</v>
      </c>
    </row>
    <row r="19" spans="1:2">
      <c r="A19" s="449" t="s">
        <v>22</v>
      </c>
      <c r="B19" t="s">
        <v>402</v>
      </c>
    </row>
    <row r="20" spans="1:2">
      <c r="A20" s="449"/>
      <c r="B20" t="s">
        <v>403</v>
      </c>
    </row>
    <row r="22" spans="1:2">
      <c r="A22" s="450" t="s">
        <v>412</v>
      </c>
      <c r="B22" t="s">
        <v>413</v>
      </c>
    </row>
    <row r="23" spans="1:2">
      <c r="A23" s="450"/>
      <c r="B23" t="s">
        <v>414</v>
      </c>
    </row>
    <row r="24" spans="1:2">
      <c r="A24" s="450"/>
      <c r="B24" t="s">
        <v>415</v>
      </c>
    </row>
    <row r="26" spans="1:2">
      <c r="A26" s="449" t="s">
        <v>458</v>
      </c>
      <c r="B26" t="s">
        <v>459</v>
      </c>
    </row>
    <row r="27" spans="1:2">
      <c r="A27" s="449"/>
      <c r="B27" t="s">
        <v>457</v>
      </c>
    </row>
    <row r="29" spans="1:2">
      <c r="A29" s="449" t="s">
        <v>42</v>
      </c>
      <c r="B29">
        <v>0.05</v>
      </c>
    </row>
    <row r="30" spans="1:2">
      <c r="A30" s="449"/>
      <c r="B30">
        <v>0.15</v>
      </c>
    </row>
    <row r="31" spans="1:2">
      <c r="A31" s="449"/>
      <c r="B31">
        <v>0.5</v>
      </c>
    </row>
    <row r="32" spans="1:2">
      <c r="A32" s="449"/>
      <c r="B32">
        <v>1</v>
      </c>
    </row>
  </sheetData>
  <sheetProtection algorithmName="SHA-512" hashValue="vvOYXQ3hDEb5QCmfsCaJBMuXHARuRhQKA5bBova1vnSayxGpEY9RJvtx8jz8R0xsc+8YClSCuHjcWWMNrKzOWQ==" saltValue="MNzcwJ0So1FhjhkgFQIV1A==" spinCount="100000" sheet="1" objects="1" scenarios="1" selectLockedCells="1"/>
  <mergeCells count="8">
    <mergeCell ref="A2:A6"/>
    <mergeCell ref="A12:A14"/>
    <mergeCell ref="A16:A17"/>
    <mergeCell ref="A29:A32"/>
    <mergeCell ref="A26:A27"/>
    <mergeCell ref="A22:A24"/>
    <mergeCell ref="A19:A20"/>
    <mergeCell ref="A8:A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1"/>
  <dimension ref="A1:H44"/>
  <sheetViews>
    <sheetView zoomScaleNormal="100" workbookViewId="0">
      <selection activeCell="E8" sqref="E8"/>
    </sheetView>
  </sheetViews>
  <sheetFormatPr defaultColWidth="11.42578125" defaultRowHeight="12.75"/>
  <cols>
    <col min="1" max="1" width="5.42578125" style="3" customWidth="1"/>
    <col min="2" max="2" width="30.7109375" style="3" customWidth="1"/>
    <col min="3" max="3" width="25.7109375" style="3" customWidth="1"/>
    <col min="4" max="5" width="20.7109375" style="3" customWidth="1"/>
    <col min="6" max="7" width="14.7109375" style="3" customWidth="1"/>
    <col min="8" max="8" width="22.85546875" style="3" customWidth="1"/>
    <col min="9" max="16384" width="11.42578125" style="3"/>
  </cols>
  <sheetData>
    <row r="1" spans="1:8" ht="20.25" customHeight="1">
      <c r="B1" s="129" t="s">
        <v>8</v>
      </c>
      <c r="C1" s="130" t="s">
        <v>551</v>
      </c>
    </row>
    <row r="2" spans="1:8" ht="12.75" customHeight="1">
      <c r="B2" s="131" t="s">
        <v>309</v>
      </c>
      <c r="C2" s="285"/>
      <c r="D2" s="286"/>
      <c r="E2" s="327" t="s">
        <v>394</v>
      </c>
      <c r="F2" s="326"/>
      <c r="G2" s="326"/>
      <c r="H2" s="326"/>
    </row>
    <row r="3" spans="1:8">
      <c r="B3" s="132" t="s">
        <v>10</v>
      </c>
      <c r="C3" s="287" t="s">
        <v>552</v>
      </c>
      <c r="D3" s="288"/>
      <c r="E3" s="327"/>
      <c r="F3" s="326"/>
      <c r="G3" s="326"/>
      <c r="H3" s="326"/>
    </row>
    <row r="4" spans="1:8">
      <c r="B4" s="132" t="s">
        <v>9</v>
      </c>
      <c r="C4" s="328" t="s">
        <v>553</v>
      </c>
      <c r="D4" s="329"/>
      <c r="E4" s="327"/>
      <c r="F4" s="326"/>
      <c r="G4" s="326"/>
      <c r="H4" s="326"/>
    </row>
    <row r="6" spans="1:8" s="2" customFormat="1" ht="25.5">
      <c r="A6" s="5"/>
      <c r="B6" s="325" t="s">
        <v>397</v>
      </c>
      <c r="C6" s="325" t="s">
        <v>0</v>
      </c>
      <c r="D6" s="9" t="s">
        <v>1</v>
      </c>
      <c r="E6" s="9" t="s">
        <v>6</v>
      </c>
      <c r="F6" s="325" t="s">
        <v>3</v>
      </c>
      <c r="G6" s="325" t="s">
        <v>4</v>
      </c>
      <c r="H6" s="325" t="s">
        <v>5</v>
      </c>
    </row>
    <row r="7" spans="1:8" s="2" customFormat="1" ht="25.5">
      <c r="A7" s="5"/>
      <c r="B7" s="325"/>
      <c r="C7" s="325"/>
      <c r="D7" s="8" t="s">
        <v>2</v>
      </c>
      <c r="E7" s="8" t="s">
        <v>7</v>
      </c>
      <c r="F7" s="325"/>
      <c r="G7" s="325"/>
      <c r="H7" s="325"/>
    </row>
    <row r="8" spans="1:8">
      <c r="A8" s="6">
        <v>1</v>
      </c>
      <c r="B8" s="7" t="s">
        <v>11</v>
      </c>
      <c r="C8" s="11"/>
      <c r="D8" s="224"/>
      <c r="E8" s="223"/>
      <c r="F8" s="224"/>
      <c r="G8" s="224"/>
      <c r="H8" s="224"/>
    </row>
    <row r="9" spans="1:8">
      <c r="A9" s="6">
        <v>2</v>
      </c>
      <c r="B9" s="12"/>
      <c r="C9" s="12"/>
      <c r="D9" s="222"/>
      <c r="E9" s="246"/>
      <c r="F9" s="223"/>
      <c r="G9" s="223"/>
      <c r="H9" s="223"/>
    </row>
    <row r="10" spans="1:8">
      <c r="A10" s="6">
        <v>3</v>
      </c>
      <c r="B10" s="12"/>
      <c r="C10" s="12"/>
      <c r="D10" s="222"/>
      <c r="E10" s="246"/>
      <c r="F10" s="223"/>
      <c r="G10" s="223"/>
      <c r="H10" s="223"/>
    </row>
    <row r="11" spans="1:8">
      <c r="A11" s="6">
        <v>4</v>
      </c>
      <c r="B11" s="12"/>
      <c r="C11" s="12"/>
      <c r="D11" s="222"/>
      <c r="E11" s="246"/>
      <c r="F11" s="223"/>
      <c r="G11" s="223"/>
      <c r="H11" s="223"/>
    </row>
    <row r="12" spans="1:8">
      <c r="A12" s="6">
        <v>5</v>
      </c>
      <c r="B12" s="12"/>
      <c r="C12" s="12"/>
      <c r="D12" s="222"/>
      <c r="E12" s="246"/>
      <c r="F12" s="223"/>
      <c r="G12" s="223"/>
      <c r="H12" s="223"/>
    </row>
    <row r="13" spans="1:8">
      <c r="A13" s="6">
        <v>6</v>
      </c>
      <c r="B13" s="12"/>
      <c r="C13" s="12"/>
      <c r="D13" s="222"/>
      <c r="E13" s="246"/>
      <c r="F13" s="223"/>
      <c r="G13" s="223"/>
      <c r="H13" s="223"/>
    </row>
    <row r="14" spans="1:8">
      <c r="A14" s="6">
        <v>7</v>
      </c>
      <c r="B14" s="12"/>
      <c r="C14" s="12"/>
      <c r="D14" s="222"/>
      <c r="E14" s="246"/>
      <c r="F14" s="223"/>
      <c r="G14" s="223"/>
      <c r="H14" s="223"/>
    </row>
    <row r="15" spans="1:8">
      <c r="A15" s="6">
        <v>8</v>
      </c>
      <c r="B15" s="12"/>
      <c r="C15" s="12"/>
      <c r="D15" s="222"/>
      <c r="E15" s="246"/>
      <c r="F15" s="223"/>
      <c r="G15" s="223"/>
      <c r="H15" s="223"/>
    </row>
    <row r="16" spans="1:8">
      <c r="A16" s="6">
        <v>9</v>
      </c>
      <c r="B16" s="12"/>
      <c r="C16" s="12"/>
      <c r="D16" s="222"/>
      <c r="E16" s="246"/>
      <c r="F16" s="223"/>
      <c r="G16" s="223"/>
      <c r="H16" s="223"/>
    </row>
    <row r="17" spans="1:8">
      <c r="A17" s="6">
        <v>10</v>
      </c>
      <c r="B17" s="12"/>
      <c r="C17" s="12"/>
      <c r="D17" s="222"/>
      <c r="E17" s="246"/>
      <c r="F17" s="223"/>
      <c r="G17" s="223"/>
      <c r="H17" s="223"/>
    </row>
    <row r="18" spans="1:8">
      <c r="A18" s="6">
        <v>11</v>
      </c>
      <c r="B18" s="12"/>
      <c r="C18" s="12"/>
      <c r="D18" s="222"/>
      <c r="E18" s="246"/>
      <c r="F18" s="223"/>
      <c r="G18" s="223"/>
      <c r="H18" s="223"/>
    </row>
    <row r="19" spans="1:8">
      <c r="A19" s="6">
        <v>12</v>
      </c>
      <c r="B19" s="12"/>
      <c r="C19" s="12"/>
      <c r="D19" s="222"/>
      <c r="E19" s="246"/>
      <c r="F19" s="223"/>
      <c r="G19" s="223"/>
      <c r="H19" s="223"/>
    </row>
    <row r="20" spans="1:8">
      <c r="A20" s="6">
        <v>13</v>
      </c>
      <c r="B20" s="12"/>
      <c r="C20" s="12"/>
      <c r="D20" s="222"/>
      <c r="E20" s="246"/>
      <c r="F20" s="223"/>
      <c r="G20" s="223"/>
      <c r="H20" s="223"/>
    </row>
    <row r="21" spans="1:8">
      <c r="A21" s="6">
        <v>14</v>
      </c>
      <c r="B21" s="12"/>
      <c r="C21" s="12"/>
      <c r="D21" s="222"/>
      <c r="E21" s="246"/>
      <c r="F21" s="223"/>
      <c r="G21" s="223"/>
      <c r="H21" s="223"/>
    </row>
    <row r="22" spans="1:8">
      <c r="A22" s="6">
        <v>15</v>
      </c>
      <c r="B22" s="12"/>
      <c r="C22" s="12"/>
      <c r="D22" s="222"/>
      <c r="E22" s="246"/>
      <c r="F22" s="223"/>
      <c r="G22" s="223"/>
      <c r="H22" s="223"/>
    </row>
    <row r="23" spans="1:8">
      <c r="A23" s="6">
        <v>16</v>
      </c>
      <c r="B23" s="12"/>
      <c r="C23" s="12"/>
      <c r="D23" s="222"/>
      <c r="E23" s="246"/>
      <c r="F23" s="223"/>
      <c r="G23" s="223"/>
      <c r="H23" s="223"/>
    </row>
    <row r="24" spans="1:8">
      <c r="A24" s="6">
        <v>17</v>
      </c>
      <c r="B24" s="12"/>
      <c r="C24" s="12"/>
      <c r="D24" s="222"/>
      <c r="E24" s="246"/>
      <c r="F24" s="223"/>
      <c r="G24" s="223"/>
      <c r="H24" s="223"/>
    </row>
    <row r="25" spans="1:8">
      <c r="A25" s="6">
        <v>18</v>
      </c>
      <c r="B25" s="12"/>
      <c r="C25" s="12"/>
      <c r="D25" s="222"/>
      <c r="E25" s="246"/>
      <c r="F25" s="223"/>
      <c r="G25" s="223"/>
      <c r="H25" s="223"/>
    </row>
    <row r="26" spans="1:8">
      <c r="A26" s="6">
        <v>19</v>
      </c>
      <c r="B26" s="12"/>
      <c r="C26" s="12"/>
      <c r="D26" s="222"/>
      <c r="E26" s="246"/>
      <c r="F26" s="223"/>
      <c r="G26" s="223"/>
      <c r="H26" s="223"/>
    </row>
    <row r="27" spans="1:8">
      <c r="A27" s="6">
        <v>20</v>
      </c>
      <c r="B27" s="12"/>
      <c r="C27" s="12"/>
      <c r="D27" s="222"/>
      <c r="E27" s="246"/>
      <c r="F27" s="223"/>
      <c r="G27" s="223"/>
      <c r="H27" s="223"/>
    </row>
    <row r="28" spans="1:8">
      <c r="A28" s="6">
        <v>21</v>
      </c>
      <c r="B28" s="12"/>
      <c r="C28" s="12"/>
      <c r="D28" s="222"/>
      <c r="E28" s="246"/>
      <c r="F28" s="223"/>
      <c r="G28" s="223"/>
      <c r="H28" s="223"/>
    </row>
    <row r="29" spans="1:8">
      <c r="A29" s="6">
        <v>22</v>
      </c>
      <c r="B29" s="12"/>
      <c r="C29" s="12"/>
      <c r="D29" s="222"/>
      <c r="E29" s="246"/>
      <c r="F29" s="223"/>
      <c r="G29" s="223"/>
      <c r="H29" s="223"/>
    </row>
    <row r="30" spans="1:8">
      <c r="A30" s="6">
        <v>23</v>
      </c>
      <c r="B30" s="12"/>
      <c r="C30" s="12"/>
      <c r="D30" s="222"/>
      <c r="E30" s="246"/>
      <c r="F30" s="223"/>
      <c r="G30" s="223"/>
      <c r="H30" s="223"/>
    </row>
    <row r="31" spans="1:8">
      <c r="A31" s="6">
        <v>24</v>
      </c>
      <c r="B31" s="12"/>
      <c r="C31" s="12"/>
      <c r="D31" s="222"/>
      <c r="E31" s="246"/>
      <c r="F31" s="223"/>
      <c r="G31" s="223"/>
      <c r="H31" s="223"/>
    </row>
    <row r="32" spans="1:8">
      <c r="A32" s="6">
        <v>25</v>
      </c>
      <c r="B32" s="12"/>
      <c r="C32" s="12"/>
      <c r="D32" s="222"/>
      <c r="E32" s="246"/>
      <c r="F32" s="223"/>
      <c r="G32" s="223"/>
      <c r="H32" s="223"/>
    </row>
    <row r="33" spans="1:8">
      <c r="A33" s="6">
        <v>26</v>
      </c>
      <c r="B33" s="12"/>
      <c r="C33" s="12"/>
      <c r="D33" s="222"/>
      <c r="E33" s="246"/>
      <c r="F33" s="223"/>
      <c r="G33" s="223"/>
      <c r="H33" s="223"/>
    </row>
    <row r="34" spans="1:8">
      <c r="A34" s="6">
        <v>27</v>
      </c>
      <c r="B34" s="12"/>
      <c r="C34" s="12"/>
      <c r="D34" s="222"/>
      <c r="E34" s="246"/>
      <c r="F34" s="223"/>
      <c r="G34" s="223"/>
      <c r="H34" s="223"/>
    </row>
    <row r="35" spans="1:8">
      <c r="A35" s="6">
        <v>28</v>
      </c>
      <c r="B35" s="12"/>
      <c r="C35" s="12"/>
      <c r="D35" s="222"/>
      <c r="E35" s="246"/>
      <c r="F35" s="223"/>
      <c r="G35" s="223"/>
      <c r="H35" s="223"/>
    </row>
    <row r="36" spans="1:8">
      <c r="A36" s="6">
        <v>29</v>
      </c>
      <c r="B36" s="12"/>
      <c r="C36" s="12"/>
      <c r="D36" s="222"/>
      <c r="E36" s="246"/>
      <c r="F36" s="223"/>
      <c r="G36" s="223"/>
      <c r="H36" s="223"/>
    </row>
    <row r="37" spans="1:8" ht="13.5" thickBot="1">
      <c r="A37" s="6">
        <v>30</v>
      </c>
      <c r="B37" s="12"/>
      <c r="C37" s="12"/>
      <c r="D37" s="222"/>
      <c r="E37" s="247"/>
      <c r="F37" s="223"/>
      <c r="G37" s="223"/>
      <c r="H37" s="223"/>
    </row>
    <row r="38" spans="1:8" s="4" customFormat="1" ht="18.75" thickBot="1">
      <c r="B38" s="4" t="s">
        <v>26</v>
      </c>
      <c r="E38" s="248">
        <f>SUM(E8:E37)</f>
        <v>0</v>
      </c>
    </row>
    <row r="40" spans="1:8">
      <c r="B40" s="3" t="s">
        <v>534</v>
      </c>
    </row>
    <row r="41" spans="1:8">
      <c r="B41" s="316"/>
      <c r="C41" s="317"/>
      <c r="D41" s="317"/>
      <c r="E41" s="317"/>
      <c r="F41" s="317"/>
      <c r="G41" s="317"/>
      <c r="H41" s="318"/>
    </row>
    <row r="42" spans="1:8">
      <c r="B42" s="319"/>
      <c r="C42" s="320"/>
      <c r="D42" s="320"/>
      <c r="E42" s="320"/>
      <c r="F42" s="320"/>
      <c r="G42" s="320"/>
      <c r="H42" s="321"/>
    </row>
    <row r="43" spans="1:8">
      <c r="B43" s="319"/>
      <c r="C43" s="320"/>
      <c r="D43" s="320"/>
      <c r="E43" s="320"/>
      <c r="F43" s="320"/>
      <c r="G43" s="320"/>
      <c r="H43" s="321"/>
    </row>
    <row r="44" spans="1:8">
      <c r="B44" s="322"/>
      <c r="C44" s="323"/>
      <c r="D44" s="323"/>
      <c r="E44" s="323"/>
      <c r="F44" s="323"/>
      <c r="G44" s="323"/>
      <c r="H44" s="324"/>
    </row>
  </sheetData>
  <sheetProtection algorithmName="SHA-512" hashValue="dy9QvRE+20+0BUQDykCNh7toOwq+8VCU266Uww3jGdfZebWU9JbJTsPxcNnUxyXY4EiMpdyeyI+2+tpFpQPs+A==" saltValue="ZdkZFWOzmnn4erS0wHd5Jg==" spinCount="100000" sheet="1" selectLockedCells="1"/>
  <mergeCells count="11">
    <mergeCell ref="F2:H4"/>
    <mergeCell ref="E2:E4"/>
    <mergeCell ref="C2:D2"/>
    <mergeCell ref="C3:D3"/>
    <mergeCell ref="C4:D4"/>
    <mergeCell ref="B41:H44"/>
    <mergeCell ref="G6:G7"/>
    <mergeCell ref="H6:H7"/>
    <mergeCell ref="B6:B7"/>
    <mergeCell ref="C6:C7"/>
    <mergeCell ref="F6:F7"/>
  </mergeCells>
  <conditionalFormatting sqref="C9:F9 H9 D10:D37">
    <cfRule type="expression" dxfId="78" priority="6">
      <formula>ISBLANK($B9)</formula>
    </cfRule>
  </conditionalFormatting>
  <conditionalFormatting sqref="C10:C37 H10:H37 E10:E37">
    <cfRule type="expression" dxfId="77" priority="5">
      <formula>ISBLANK($B10)</formula>
    </cfRule>
  </conditionalFormatting>
  <conditionalFormatting sqref="F10:F37">
    <cfRule type="expression" dxfId="76" priority="4">
      <formula>ISBLANK($B10)</formula>
    </cfRule>
  </conditionalFormatting>
  <conditionalFormatting sqref="G9:G37">
    <cfRule type="expression" dxfId="75" priority="3">
      <formula>ISBLANK($B9)</formula>
    </cfRule>
  </conditionalFormatting>
  <conditionalFormatting sqref="F9:G37">
    <cfRule type="containsText" dxfId="74" priority="1" operator="containsText" text="No">
      <formula>NOT(ISERROR(SEARCH("No",F9)))</formula>
    </cfRule>
    <cfRule type="containsText" dxfId="73" priority="2" operator="containsText" text="Yes">
      <formula>NOT(ISERROR(SEARCH("Yes",F9)))</formula>
    </cfRule>
  </conditionalFormatting>
  <dataValidations count="2">
    <dataValidation showInputMessage="1" showErrorMessage="1" sqref="C3:D4" xr:uid="{00000000-0002-0000-0100-000000000000}"/>
    <dataValidation type="list" allowBlank="1" showInputMessage="1" showErrorMessage="1" sqref="F9:G37" xr:uid="{00000000-0002-0000-0100-000001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Hoja2!$B$2:$B$6</xm:f>
          </x14:formula1>
          <xm:sqref>D9:D37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
  <dimension ref="A1:Y65"/>
  <sheetViews>
    <sheetView showZeros="0" topLeftCell="B1" zoomScaleNormal="100" workbookViewId="0">
      <selection activeCell="M9" sqref="M9"/>
    </sheetView>
  </sheetViews>
  <sheetFormatPr defaultColWidth="11.42578125" defaultRowHeight="12.75"/>
  <cols>
    <col min="1" max="1" width="5.42578125" style="3" customWidth="1"/>
    <col min="2" max="2" width="30.7109375" style="3" customWidth="1"/>
    <col min="3" max="3" width="20.28515625" style="3" bestFit="1" customWidth="1"/>
    <col min="4" max="4" width="4.85546875" style="3" hidden="1" customWidth="1"/>
    <col min="5" max="5" width="13.85546875" style="3" bestFit="1" customWidth="1"/>
    <col min="6" max="6" width="13.140625" style="3" hidden="1" customWidth="1"/>
    <col min="7" max="7" width="20.7109375" style="3" customWidth="1"/>
    <col min="8" max="8" width="13.140625" style="3" bestFit="1" customWidth="1"/>
    <col min="9" max="12" width="2.28515625" style="3" hidden="1" customWidth="1"/>
    <col min="13" max="13" width="17" style="3" customWidth="1"/>
    <col min="14" max="15" width="23" style="3" customWidth="1"/>
    <col min="16" max="17" width="15.42578125" style="3" customWidth="1"/>
    <col min="18" max="19" width="13" style="3" customWidth="1"/>
    <col min="20" max="20" width="2.42578125" style="3" customWidth="1"/>
    <col min="21" max="23" width="11.42578125" style="3"/>
    <col min="24" max="24" width="11.42578125" style="3" hidden="1" customWidth="1"/>
    <col min="25" max="16384" width="11.42578125" style="3"/>
  </cols>
  <sheetData>
    <row r="1" spans="1:24">
      <c r="B1" s="330" t="s">
        <v>460</v>
      </c>
      <c r="C1" s="331"/>
      <c r="D1" s="331"/>
      <c r="E1" s="332"/>
    </row>
    <row r="2" spans="1:24">
      <c r="B2" s="132" t="s">
        <v>309</v>
      </c>
      <c r="C2" s="335">
        <f>'Product formulation'!C2</f>
        <v>0</v>
      </c>
      <c r="D2" s="336"/>
      <c r="E2" s="337"/>
    </row>
    <row r="3" spans="1:24">
      <c r="B3" s="132" t="s">
        <v>9</v>
      </c>
      <c r="C3" s="338" t="str">
        <f>'Product formulation'!C4</f>
        <v>Rinse-off products for animal care</v>
      </c>
      <c r="D3" s="339"/>
      <c r="E3" s="340"/>
    </row>
    <row r="5" spans="1:24" s="225" customFormat="1" ht="15.75">
      <c r="A5" s="225" t="s">
        <v>395</v>
      </c>
    </row>
    <row r="7" spans="1:24" s="2" customFormat="1" ht="40.5" customHeight="1">
      <c r="A7" s="5"/>
      <c r="B7" s="325" t="s">
        <v>12</v>
      </c>
      <c r="C7" s="221" t="s">
        <v>13</v>
      </c>
      <c r="D7" s="221"/>
      <c r="E7" s="221" t="s">
        <v>15</v>
      </c>
      <c r="F7" s="221" t="s">
        <v>17</v>
      </c>
      <c r="G7" s="333" t="s">
        <v>398</v>
      </c>
      <c r="H7" s="221" t="s">
        <v>1</v>
      </c>
      <c r="I7" s="221"/>
      <c r="J7" s="221"/>
      <c r="K7" s="221"/>
      <c r="L7" s="221"/>
      <c r="M7" s="221" t="s">
        <v>17</v>
      </c>
      <c r="N7" s="221" t="s">
        <v>5</v>
      </c>
      <c r="O7" s="221" t="s">
        <v>19</v>
      </c>
      <c r="P7" s="221" t="s">
        <v>20</v>
      </c>
      <c r="Q7" s="325" t="s">
        <v>21</v>
      </c>
      <c r="R7" s="221" t="s">
        <v>23</v>
      </c>
      <c r="S7" s="221" t="s">
        <v>24</v>
      </c>
    </row>
    <row r="8" spans="1:24" s="2" customFormat="1" ht="51">
      <c r="A8" s="5"/>
      <c r="B8" s="325"/>
      <c r="C8" s="226" t="s">
        <v>14</v>
      </c>
      <c r="D8" s="226"/>
      <c r="E8" s="226" t="s">
        <v>16</v>
      </c>
      <c r="F8" s="226"/>
      <c r="G8" s="334"/>
      <c r="H8" s="226" t="s">
        <v>14</v>
      </c>
      <c r="I8" s="226"/>
      <c r="J8" s="226"/>
      <c r="K8" s="226"/>
      <c r="L8" s="226"/>
      <c r="M8" s="226" t="s">
        <v>7</v>
      </c>
      <c r="N8" s="227" t="s">
        <v>18</v>
      </c>
      <c r="O8" s="226" t="s">
        <v>14</v>
      </c>
      <c r="P8" s="226" t="s">
        <v>28</v>
      </c>
      <c r="Q8" s="325"/>
      <c r="R8" s="226" t="s">
        <v>14</v>
      </c>
      <c r="S8" s="226" t="s">
        <v>14</v>
      </c>
    </row>
    <row r="9" spans="1:24">
      <c r="A9" s="6">
        <v>1</v>
      </c>
      <c r="B9" s="25" t="s">
        <v>11</v>
      </c>
      <c r="C9" s="25"/>
      <c r="D9" s="25"/>
      <c r="E9" s="228"/>
      <c r="F9" s="25"/>
      <c r="G9" s="25"/>
      <c r="H9" s="25"/>
      <c r="I9" s="25"/>
      <c r="J9" s="25"/>
      <c r="K9" s="25"/>
      <c r="L9" s="25"/>
      <c r="M9" s="267"/>
      <c r="N9" s="229"/>
      <c r="O9" s="25"/>
      <c r="P9" s="25"/>
      <c r="Q9" s="25"/>
      <c r="R9" s="25"/>
      <c r="S9" s="25"/>
    </row>
    <row r="10" spans="1:24">
      <c r="A10" s="6">
        <v>2</v>
      </c>
      <c r="B10" s="12"/>
      <c r="C10" s="12"/>
      <c r="D10" s="12" t="str">
        <f>IF(C10="","",VLOOKUP(C10,'Product formulation'!B:E,4,FALSE))</f>
        <v/>
      </c>
      <c r="E10" s="128"/>
      <c r="F10" s="231">
        <f>IF(D10="",0,(E10*D10/100))</f>
        <v>0</v>
      </c>
      <c r="G10" s="12"/>
      <c r="H10" s="12"/>
      <c r="I10" s="14" t="str">
        <f>IF(H10=Hoja2!$B$2,"Y","N")</f>
        <v>N</v>
      </c>
      <c r="J10" s="14" t="str">
        <f>IF(NOT(ISERROR(SEARCH("400",N10,1))),"Y","N")</f>
        <v>N</v>
      </c>
      <c r="K10" s="14" t="str">
        <f>IF(NOT(ISERROR(SEARCH("412",N10,1))),"Y","N")</f>
        <v>N</v>
      </c>
      <c r="L10" s="14" t="str">
        <f>IF(AND(I10="Y",(OR(J10="Y",K10="Y"))),"Y","N")</f>
        <v>N</v>
      </c>
      <c r="M10" s="126">
        <f>F10</f>
        <v>0</v>
      </c>
      <c r="N10" s="127"/>
      <c r="O10" s="12"/>
      <c r="P10" s="11"/>
      <c r="Q10" s="11"/>
      <c r="R10" s="12"/>
      <c r="S10" s="12"/>
      <c r="X10" s="230">
        <v>300</v>
      </c>
    </row>
    <row r="11" spans="1:24">
      <c r="A11" s="6">
        <v>3</v>
      </c>
      <c r="B11" s="12"/>
      <c r="C11" s="12"/>
      <c r="D11" s="12" t="str">
        <f>IF(C11="","",VLOOKUP(C11,'Product formulation'!B:E,4,FALSE))</f>
        <v/>
      </c>
      <c r="E11" s="128"/>
      <c r="F11" s="231">
        <f t="shared" ref="F11:F58" si="0">IF(D11="",0,(E11*D11/100))</f>
        <v>0</v>
      </c>
      <c r="G11" s="12"/>
      <c r="H11" s="12"/>
      <c r="I11" s="14" t="str">
        <f>IF(H11=Hoja2!$B$2,"Y","N")</f>
        <v>N</v>
      </c>
      <c r="J11" s="14" t="str">
        <f t="shared" ref="J11:J58" si="1">IF(NOT(ISERROR(SEARCH("400",N11,1))),"Y","N")</f>
        <v>N</v>
      </c>
      <c r="K11" s="14" t="str">
        <f t="shared" ref="K11:K58" si="2">IF(NOT(ISERROR(SEARCH("412",N11,1))),"Y","N")</f>
        <v>N</v>
      </c>
      <c r="L11" s="14" t="str">
        <f t="shared" ref="L11:L58" si="3">IF(AND(I11="Y",(OR(J11="Y",K11="Y"))),"Y","N")</f>
        <v>N</v>
      </c>
      <c r="M11" s="126">
        <f>F11</f>
        <v>0</v>
      </c>
      <c r="N11" s="125"/>
      <c r="O11" s="12"/>
      <c r="P11" s="11"/>
      <c r="Q11" s="11"/>
      <c r="R11" s="12"/>
      <c r="S11" s="12"/>
      <c r="X11" s="230">
        <v>301</v>
      </c>
    </row>
    <row r="12" spans="1:24">
      <c r="A12" s="6">
        <v>4</v>
      </c>
      <c r="B12" s="12"/>
      <c r="C12" s="12"/>
      <c r="D12" s="12" t="str">
        <f>IF(C12="","",VLOOKUP(C12,'Product formulation'!B:E,4,FALSE))</f>
        <v/>
      </c>
      <c r="E12" s="128"/>
      <c r="F12" s="231">
        <f t="shared" si="0"/>
        <v>0</v>
      </c>
      <c r="G12" s="12"/>
      <c r="H12" s="12"/>
      <c r="I12" s="14" t="str">
        <f>IF(H12=Hoja2!$B$2,"Y","N")</f>
        <v>N</v>
      </c>
      <c r="J12" s="14" t="str">
        <f t="shared" si="1"/>
        <v>N</v>
      </c>
      <c r="K12" s="14" t="str">
        <f t="shared" si="2"/>
        <v>N</v>
      </c>
      <c r="L12" s="14" t="str">
        <f t="shared" si="3"/>
        <v>N</v>
      </c>
      <c r="M12" s="126">
        <f>F12</f>
        <v>0</v>
      </c>
      <c r="N12" s="125"/>
      <c r="O12" s="12"/>
      <c r="P12" s="11"/>
      <c r="Q12" s="11"/>
      <c r="R12" s="12"/>
      <c r="S12" s="12"/>
      <c r="X12" s="230">
        <v>310</v>
      </c>
    </row>
    <row r="13" spans="1:24">
      <c r="A13" s="6">
        <v>5</v>
      </c>
      <c r="B13" s="12"/>
      <c r="C13" s="12"/>
      <c r="D13" s="12" t="str">
        <f>IF(C13="","",VLOOKUP(C13,'Product formulation'!B:E,4,FALSE))</f>
        <v/>
      </c>
      <c r="E13" s="128"/>
      <c r="F13" s="231">
        <f t="shared" si="0"/>
        <v>0</v>
      </c>
      <c r="G13" s="12"/>
      <c r="H13" s="12"/>
      <c r="I13" s="14" t="str">
        <f>IF(H13=Hoja2!$B$2,"Y","N")</f>
        <v>N</v>
      </c>
      <c r="J13" s="14" t="str">
        <f t="shared" si="1"/>
        <v>N</v>
      </c>
      <c r="K13" s="14" t="str">
        <f t="shared" si="2"/>
        <v>N</v>
      </c>
      <c r="L13" s="14" t="str">
        <f t="shared" si="3"/>
        <v>N</v>
      </c>
      <c r="M13" s="126">
        <f t="shared" ref="M13:M58" si="4">F13</f>
        <v>0</v>
      </c>
      <c r="N13" s="125"/>
      <c r="O13" s="12"/>
      <c r="P13" s="11"/>
      <c r="Q13" s="11"/>
      <c r="R13" s="12"/>
      <c r="S13" s="12"/>
      <c r="X13" s="230">
        <v>311</v>
      </c>
    </row>
    <row r="14" spans="1:24">
      <c r="A14" s="6">
        <v>6</v>
      </c>
      <c r="B14" s="12"/>
      <c r="C14" s="12"/>
      <c r="D14" s="12" t="str">
        <f>IF(C14="","",VLOOKUP(C14,'Product formulation'!B:E,4,FALSE))</f>
        <v/>
      </c>
      <c r="E14" s="128"/>
      <c r="F14" s="231">
        <f t="shared" si="0"/>
        <v>0</v>
      </c>
      <c r="G14" s="12"/>
      <c r="H14" s="12"/>
      <c r="I14" s="14" t="str">
        <f>IF(H14=Hoja2!$B$2,"Y","N")</f>
        <v>N</v>
      </c>
      <c r="J14" s="14" t="str">
        <f t="shared" si="1"/>
        <v>N</v>
      </c>
      <c r="K14" s="14" t="str">
        <f t="shared" si="2"/>
        <v>N</v>
      </c>
      <c r="L14" s="14" t="str">
        <f t="shared" si="3"/>
        <v>N</v>
      </c>
      <c r="M14" s="126">
        <f t="shared" si="4"/>
        <v>0</v>
      </c>
      <c r="N14" s="125"/>
      <c r="O14" s="12"/>
      <c r="P14" s="11"/>
      <c r="Q14" s="11"/>
      <c r="R14" s="12"/>
      <c r="S14" s="12"/>
      <c r="X14" s="230">
        <v>330</v>
      </c>
    </row>
    <row r="15" spans="1:24">
      <c r="A15" s="6">
        <v>7</v>
      </c>
      <c r="B15" s="12"/>
      <c r="C15" s="12"/>
      <c r="D15" s="12" t="str">
        <f>IF(C15="","",VLOOKUP(C15,'Product formulation'!B:E,4,FALSE))</f>
        <v/>
      </c>
      <c r="E15" s="128"/>
      <c r="F15" s="231">
        <f t="shared" si="0"/>
        <v>0</v>
      </c>
      <c r="G15" s="12"/>
      <c r="H15" s="12"/>
      <c r="I15" s="14" t="str">
        <f>IF(H15=Hoja2!$B$2,"Y","N")</f>
        <v>N</v>
      </c>
      <c r="J15" s="14" t="str">
        <f t="shared" si="1"/>
        <v>N</v>
      </c>
      <c r="K15" s="14" t="str">
        <f t="shared" si="2"/>
        <v>N</v>
      </c>
      <c r="L15" s="14" t="str">
        <f t="shared" si="3"/>
        <v>N</v>
      </c>
      <c r="M15" s="126">
        <f t="shared" si="4"/>
        <v>0</v>
      </c>
      <c r="N15" s="125"/>
      <c r="O15" s="12"/>
      <c r="P15" s="11"/>
      <c r="Q15" s="11"/>
      <c r="R15" s="12"/>
      <c r="S15" s="12"/>
      <c r="X15" s="230">
        <v>331</v>
      </c>
    </row>
    <row r="16" spans="1:24">
      <c r="A16" s="6">
        <v>8</v>
      </c>
      <c r="B16" s="12"/>
      <c r="C16" s="12"/>
      <c r="D16" s="12" t="str">
        <f>IF(C16="","",VLOOKUP(C16,'Product formulation'!B:E,4,FALSE))</f>
        <v/>
      </c>
      <c r="E16" s="128"/>
      <c r="F16" s="231">
        <f t="shared" si="0"/>
        <v>0</v>
      </c>
      <c r="G16" s="12"/>
      <c r="H16" s="12"/>
      <c r="I16" s="14" t="str">
        <f>IF(H16=Hoja2!$B$2,"Y","N")</f>
        <v>N</v>
      </c>
      <c r="J16" s="14" t="str">
        <f t="shared" si="1"/>
        <v>N</v>
      </c>
      <c r="K16" s="14" t="str">
        <f t="shared" si="2"/>
        <v>N</v>
      </c>
      <c r="L16" s="14" t="str">
        <f t="shared" si="3"/>
        <v>N</v>
      </c>
      <c r="M16" s="126">
        <f t="shared" si="4"/>
        <v>0</v>
      </c>
      <c r="N16" s="125"/>
      <c r="O16" s="12"/>
      <c r="P16" s="11"/>
      <c r="Q16" s="11"/>
      <c r="R16" s="12"/>
      <c r="S16" s="12"/>
      <c r="X16" s="230">
        <v>304</v>
      </c>
    </row>
    <row r="17" spans="1:25">
      <c r="A17" s="6">
        <v>9</v>
      </c>
      <c r="B17" s="12"/>
      <c r="C17" s="12"/>
      <c r="D17" s="12" t="str">
        <f>IF(C17="","",VLOOKUP(C17,'Product formulation'!B:E,4,FALSE))</f>
        <v/>
      </c>
      <c r="E17" s="128"/>
      <c r="F17" s="231">
        <f t="shared" si="0"/>
        <v>0</v>
      </c>
      <c r="G17" s="12"/>
      <c r="H17" s="12"/>
      <c r="I17" s="14" t="str">
        <f>IF(H17=Hoja2!$B$2,"Y","N")</f>
        <v>N</v>
      </c>
      <c r="J17" s="14" t="str">
        <f t="shared" si="1"/>
        <v>N</v>
      </c>
      <c r="K17" s="14" t="str">
        <f t="shared" si="2"/>
        <v>N</v>
      </c>
      <c r="L17" s="14" t="str">
        <f t="shared" si="3"/>
        <v>N</v>
      </c>
      <c r="M17" s="126">
        <f t="shared" si="4"/>
        <v>0</v>
      </c>
      <c r="N17" s="125"/>
      <c r="O17" s="12"/>
      <c r="P17" s="11"/>
      <c r="Q17" s="11"/>
      <c r="R17" s="12"/>
      <c r="S17" s="12"/>
      <c r="X17" s="230">
        <v>370</v>
      </c>
    </row>
    <row r="18" spans="1:25">
      <c r="A18" s="6">
        <v>10</v>
      </c>
      <c r="B18" s="12"/>
      <c r="C18" s="12"/>
      <c r="D18" s="12" t="str">
        <f>IF(C18="","",VLOOKUP(C18,'Product formulation'!B:E,4,FALSE))</f>
        <v/>
      </c>
      <c r="E18" s="128"/>
      <c r="F18" s="231">
        <f t="shared" si="0"/>
        <v>0</v>
      </c>
      <c r="G18" s="12"/>
      <c r="H18" s="12"/>
      <c r="I18" s="14" t="str">
        <f>IF(H18=Hoja2!$B$2,"Y","N")</f>
        <v>N</v>
      </c>
      <c r="J18" s="14" t="str">
        <f t="shared" si="1"/>
        <v>N</v>
      </c>
      <c r="K18" s="14" t="str">
        <f t="shared" si="2"/>
        <v>N</v>
      </c>
      <c r="L18" s="14" t="str">
        <f t="shared" si="3"/>
        <v>N</v>
      </c>
      <c r="M18" s="126">
        <f t="shared" si="4"/>
        <v>0</v>
      </c>
      <c r="N18" s="125"/>
      <c r="O18" s="12"/>
      <c r="P18" s="11"/>
      <c r="Q18" s="11"/>
      <c r="R18" s="12"/>
      <c r="S18" s="12"/>
      <c r="X18" s="230">
        <v>371</v>
      </c>
    </row>
    <row r="19" spans="1:25">
      <c r="A19" s="6">
        <v>11</v>
      </c>
      <c r="B19" s="12"/>
      <c r="C19" s="12"/>
      <c r="D19" s="12" t="str">
        <f>IF(C19="","",VLOOKUP(C19,'Product formulation'!B:E,4,FALSE))</f>
        <v/>
      </c>
      <c r="E19" s="128"/>
      <c r="F19" s="231">
        <f t="shared" si="0"/>
        <v>0</v>
      </c>
      <c r="G19" s="12"/>
      <c r="H19" s="12"/>
      <c r="I19" s="14" t="str">
        <f>IF(H19=Hoja2!$B$2,"Y","N")</f>
        <v>N</v>
      </c>
      <c r="J19" s="14" t="str">
        <f t="shared" si="1"/>
        <v>N</v>
      </c>
      <c r="K19" s="14" t="str">
        <f t="shared" si="2"/>
        <v>N</v>
      </c>
      <c r="L19" s="14" t="str">
        <f t="shared" si="3"/>
        <v>N</v>
      </c>
      <c r="M19" s="126">
        <f t="shared" si="4"/>
        <v>0</v>
      </c>
      <c r="N19" s="125"/>
      <c r="O19" s="12"/>
      <c r="P19" s="11"/>
      <c r="Q19" s="11"/>
      <c r="R19" s="12"/>
      <c r="S19" s="12"/>
      <c r="X19" s="230">
        <v>372</v>
      </c>
    </row>
    <row r="20" spans="1:25">
      <c r="A20" s="6">
        <v>12</v>
      </c>
      <c r="B20" s="12"/>
      <c r="C20" s="12"/>
      <c r="D20" s="12" t="str">
        <f>IF(C20="","",VLOOKUP(C20,'Product formulation'!B:E,4,FALSE))</f>
        <v/>
      </c>
      <c r="E20" s="128"/>
      <c r="F20" s="231">
        <f t="shared" si="0"/>
        <v>0</v>
      </c>
      <c r="G20" s="12"/>
      <c r="H20" s="12"/>
      <c r="I20" s="14" t="str">
        <f>IF(H20=Hoja2!$B$2,"Y","N")</f>
        <v>N</v>
      </c>
      <c r="J20" s="14" t="str">
        <f t="shared" si="1"/>
        <v>N</v>
      </c>
      <c r="K20" s="14" t="str">
        <f t="shared" si="2"/>
        <v>N</v>
      </c>
      <c r="L20" s="14" t="str">
        <f t="shared" si="3"/>
        <v>N</v>
      </c>
      <c r="M20" s="126">
        <f t="shared" si="4"/>
        <v>0</v>
      </c>
      <c r="N20" s="125"/>
      <c r="O20" s="12"/>
      <c r="P20" s="11"/>
      <c r="Q20" s="11"/>
      <c r="R20" s="12"/>
      <c r="S20" s="12"/>
      <c r="X20" s="230">
        <v>373</v>
      </c>
    </row>
    <row r="21" spans="1:25">
      <c r="A21" s="6">
        <v>13</v>
      </c>
      <c r="B21" s="12"/>
      <c r="C21" s="12"/>
      <c r="D21" s="12" t="str">
        <f>IF(C21="","",VLOOKUP(C21,'Product formulation'!B:E,4,FALSE))</f>
        <v/>
      </c>
      <c r="E21" s="128"/>
      <c r="F21" s="231">
        <f t="shared" si="0"/>
        <v>0</v>
      </c>
      <c r="G21" s="12"/>
      <c r="H21" s="12"/>
      <c r="I21" s="14" t="str">
        <f>IF(H21=Hoja2!$B$2,"Y","N")</f>
        <v>N</v>
      </c>
      <c r="J21" s="14" t="str">
        <f t="shared" si="1"/>
        <v>N</v>
      </c>
      <c r="K21" s="14" t="str">
        <f t="shared" si="2"/>
        <v>N</v>
      </c>
      <c r="L21" s="14" t="str">
        <f t="shared" si="3"/>
        <v>N</v>
      </c>
      <c r="M21" s="126">
        <f t="shared" si="4"/>
        <v>0</v>
      </c>
      <c r="N21" s="125"/>
      <c r="O21" s="12"/>
      <c r="P21" s="11"/>
      <c r="Q21" s="11"/>
      <c r="R21" s="12"/>
      <c r="S21" s="12"/>
      <c r="X21" s="230">
        <v>317</v>
      </c>
    </row>
    <row r="22" spans="1:25">
      <c r="A22" s="6">
        <v>14</v>
      </c>
      <c r="B22" s="12"/>
      <c r="C22" s="12"/>
      <c r="D22" s="12" t="str">
        <f>IF(C22="","",VLOOKUP(C22,'Product formulation'!B:E,4,FALSE))</f>
        <v/>
      </c>
      <c r="E22" s="128"/>
      <c r="F22" s="231">
        <f t="shared" si="0"/>
        <v>0</v>
      </c>
      <c r="G22" s="12"/>
      <c r="H22" s="12"/>
      <c r="I22" s="14" t="str">
        <f>IF(H22=Hoja2!$B$2,"Y","N")</f>
        <v>N</v>
      </c>
      <c r="J22" s="14" t="str">
        <f t="shared" si="1"/>
        <v>N</v>
      </c>
      <c r="K22" s="14" t="str">
        <f t="shared" si="2"/>
        <v>N</v>
      </c>
      <c r="L22" s="14" t="str">
        <f t="shared" si="3"/>
        <v>N</v>
      </c>
      <c r="M22" s="126">
        <f t="shared" si="4"/>
        <v>0</v>
      </c>
      <c r="N22" s="125"/>
      <c r="O22" s="12"/>
      <c r="P22" s="11"/>
      <c r="Q22" s="11"/>
      <c r="R22" s="12"/>
      <c r="S22" s="12"/>
      <c r="X22" s="230">
        <v>334</v>
      </c>
    </row>
    <row r="23" spans="1:25">
      <c r="A23" s="6">
        <v>15</v>
      </c>
      <c r="B23" s="12"/>
      <c r="C23" s="12"/>
      <c r="D23" s="12" t="str">
        <f>IF(C23="","",VLOOKUP(C23,'Product formulation'!B:E,4,FALSE))</f>
        <v/>
      </c>
      <c r="E23" s="128"/>
      <c r="F23" s="231">
        <f t="shared" si="0"/>
        <v>0</v>
      </c>
      <c r="G23" s="12"/>
      <c r="H23" s="12"/>
      <c r="I23" s="14" t="str">
        <f>IF(H23=Hoja2!$B$2,"Y","N")</f>
        <v>N</v>
      </c>
      <c r="J23" s="14" t="str">
        <f t="shared" si="1"/>
        <v>N</v>
      </c>
      <c r="K23" s="14" t="str">
        <f t="shared" si="2"/>
        <v>N</v>
      </c>
      <c r="L23" s="14" t="str">
        <f t="shared" si="3"/>
        <v>N</v>
      </c>
      <c r="M23" s="126">
        <f t="shared" si="4"/>
        <v>0</v>
      </c>
      <c r="N23" s="125"/>
      <c r="O23" s="12"/>
      <c r="P23" s="11"/>
      <c r="Q23" s="11"/>
      <c r="R23" s="12"/>
      <c r="S23" s="12"/>
      <c r="X23" s="230">
        <v>400</v>
      </c>
    </row>
    <row r="24" spans="1:25">
      <c r="A24" s="6">
        <v>16</v>
      </c>
      <c r="B24" s="12"/>
      <c r="C24" s="12"/>
      <c r="D24" s="12" t="str">
        <f>IF(C24="","",VLOOKUP(C24,'Product formulation'!B:E,4,FALSE))</f>
        <v/>
      </c>
      <c r="E24" s="128"/>
      <c r="F24" s="231">
        <f t="shared" si="0"/>
        <v>0</v>
      </c>
      <c r="G24" s="12"/>
      <c r="H24" s="12"/>
      <c r="I24" s="14" t="str">
        <f>IF(H24=Hoja2!$B$2,"Y","N")</f>
        <v>N</v>
      </c>
      <c r="J24" s="14" t="str">
        <f t="shared" si="1"/>
        <v>N</v>
      </c>
      <c r="K24" s="14" t="str">
        <f t="shared" si="2"/>
        <v>N</v>
      </c>
      <c r="L24" s="14" t="str">
        <f t="shared" si="3"/>
        <v>N</v>
      </c>
      <c r="M24" s="126">
        <f t="shared" si="4"/>
        <v>0</v>
      </c>
      <c r="N24" s="125"/>
      <c r="O24" s="12"/>
      <c r="P24" s="11"/>
      <c r="Q24" s="11"/>
      <c r="R24" s="12"/>
      <c r="S24" s="12"/>
      <c r="X24" s="230">
        <v>410</v>
      </c>
    </row>
    <row r="25" spans="1:25">
      <c r="A25" s="6">
        <v>17</v>
      </c>
      <c r="B25" s="12"/>
      <c r="C25" s="12"/>
      <c r="D25" s="12" t="str">
        <f>IF(C25="","",VLOOKUP(C25,'Product formulation'!B:E,4,FALSE))</f>
        <v/>
      </c>
      <c r="E25" s="128"/>
      <c r="F25" s="231">
        <f t="shared" si="0"/>
        <v>0</v>
      </c>
      <c r="G25" s="12"/>
      <c r="H25" s="12"/>
      <c r="I25" s="14" t="str">
        <f>IF(H25=Hoja2!$B$2,"Y","N")</f>
        <v>N</v>
      </c>
      <c r="J25" s="14" t="str">
        <f t="shared" si="1"/>
        <v>N</v>
      </c>
      <c r="K25" s="14" t="str">
        <f t="shared" si="2"/>
        <v>N</v>
      </c>
      <c r="L25" s="14" t="str">
        <f t="shared" si="3"/>
        <v>N</v>
      </c>
      <c r="M25" s="126">
        <f t="shared" si="4"/>
        <v>0</v>
      </c>
      <c r="N25" s="125"/>
      <c r="O25" s="12"/>
      <c r="P25" s="11"/>
      <c r="Q25" s="11"/>
      <c r="R25" s="12"/>
      <c r="S25" s="12"/>
      <c r="X25" s="230">
        <v>411</v>
      </c>
    </row>
    <row r="26" spans="1:25">
      <c r="A26" s="6">
        <v>18</v>
      </c>
      <c r="B26" s="12"/>
      <c r="C26" s="12"/>
      <c r="D26" s="12" t="str">
        <f>IF(C26="","",VLOOKUP(C26,'Product formulation'!B:E,4,FALSE))</f>
        <v/>
      </c>
      <c r="E26" s="128"/>
      <c r="F26" s="231">
        <f t="shared" si="0"/>
        <v>0</v>
      </c>
      <c r="G26" s="12"/>
      <c r="H26" s="12"/>
      <c r="I26" s="14" t="str">
        <f>IF(H26=Hoja2!$B$2,"Y","N")</f>
        <v>N</v>
      </c>
      <c r="J26" s="14" t="str">
        <f t="shared" si="1"/>
        <v>N</v>
      </c>
      <c r="K26" s="14" t="str">
        <f t="shared" si="2"/>
        <v>N</v>
      </c>
      <c r="L26" s="14" t="str">
        <f t="shared" si="3"/>
        <v>N</v>
      </c>
      <c r="M26" s="126">
        <f t="shared" si="4"/>
        <v>0</v>
      </c>
      <c r="N26" s="125"/>
      <c r="O26" s="12"/>
      <c r="P26" s="11"/>
      <c r="Q26" s="11"/>
      <c r="R26" s="12"/>
      <c r="S26" s="12"/>
      <c r="X26" s="230">
        <v>412</v>
      </c>
    </row>
    <row r="27" spans="1:25">
      <c r="A27" s="6">
        <v>19</v>
      </c>
      <c r="B27" s="12"/>
      <c r="C27" s="12"/>
      <c r="D27" s="12" t="str">
        <f>IF(C27="","",VLOOKUP(C27,'Product formulation'!B:E,4,FALSE))</f>
        <v/>
      </c>
      <c r="E27" s="128"/>
      <c r="F27" s="231">
        <f t="shared" si="0"/>
        <v>0</v>
      </c>
      <c r="G27" s="12"/>
      <c r="H27" s="12"/>
      <c r="I27" s="14" t="str">
        <f>IF(H27=Hoja2!$B$2,"Y","N")</f>
        <v>N</v>
      </c>
      <c r="J27" s="14" t="str">
        <f t="shared" si="1"/>
        <v>N</v>
      </c>
      <c r="K27" s="14" t="str">
        <f t="shared" si="2"/>
        <v>N</v>
      </c>
      <c r="L27" s="14" t="str">
        <f t="shared" si="3"/>
        <v>N</v>
      </c>
      <c r="M27" s="126">
        <f t="shared" si="4"/>
        <v>0</v>
      </c>
      <c r="N27" s="125"/>
      <c r="O27" s="12"/>
      <c r="P27" s="11"/>
      <c r="Q27" s="11"/>
      <c r="R27" s="12"/>
      <c r="S27" s="12"/>
      <c r="X27" s="230">
        <v>413</v>
      </c>
    </row>
    <row r="28" spans="1:25">
      <c r="A28" s="6">
        <v>20</v>
      </c>
      <c r="B28" s="12"/>
      <c r="C28" s="12"/>
      <c r="D28" s="12" t="str">
        <f>IF(C28="","",VLOOKUP(C28,'Product formulation'!B:E,4,FALSE))</f>
        <v/>
      </c>
      <c r="E28" s="128"/>
      <c r="F28" s="231">
        <f t="shared" si="0"/>
        <v>0</v>
      </c>
      <c r="G28" s="12"/>
      <c r="H28" s="12"/>
      <c r="I28" s="14" t="str">
        <f>IF(H28=Hoja2!$B$2,"Y","N")</f>
        <v>N</v>
      </c>
      <c r="J28" s="14" t="str">
        <f t="shared" si="1"/>
        <v>N</v>
      </c>
      <c r="K28" s="14" t="str">
        <f t="shared" si="2"/>
        <v>N</v>
      </c>
      <c r="L28" s="14" t="str">
        <f t="shared" si="3"/>
        <v>N</v>
      </c>
      <c r="M28" s="126">
        <f t="shared" si="4"/>
        <v>0</v>
      </c>
      <c r="N28" s="125"/>
      <c r="O28" s="12"/>
      <c r="P28" s="11"/>
      <c r="Q28" s="11"/>
      <c r="R28" s="12"/>
      <c r="S28" s="12"/>
      <c r="X28" s="230">
        <v>420</v>
      </c>
    </row>
    <row r="29" spans="1:25">
      <c r="A29" s="6">
        <v>21</v>
      </c>
      <c r="B29" s="12"/>
      <c r="C29" s="12"/>
      <c r="D29" s="12" t="str">
        <f>IF(C29="","",VLOOKUP(C29,'Product formulation'!B:E,4,FALSE))</f>
        <v/>
      </c>
      <c r="E29" s="128"/>
      <c r="F29" s="231">
        <f t="shared" si="0"/>
        <v>0</v>
      </c>
      <c r="G29" s="12"/>
      <c r="H29" s="12"/>
      <c r="I29" s="14" t="str">
        <f>IF(H29=Hoja2!$B$2,"Y","N")</f>
        <v>N</v>
      </c>
      <c r="J29" s="14" t="str">
        <f t="shared" si="1"/>
        <v>N</v>
      </c>
      <c r="K29" s="14" t="str">
        <f t="shared" si="2"/>
        <v>N</v>
      </c>
      <c r="L29" s="14" t="str">
        <f t="shared" si="3"/>
        <v>N</v>
      </c>
      <c r="M29" s="126">
        <f t="shared" si="4"/>
        <v>0</v>
      </c>
      <c r="N29" s="125"/>
      <c r="O29" s="12"/>
      <c r="P29" s="11"/>
      <c r="Q29" s="11"/>
      <c r="R29" s="12"/>
      <c r="S29" s="12"/>
      <c r="X29" s="230">
        <v>340</v>
      </c>
      <c r="Y29" s="230"/>
    </row>
    <row r="30" spans="1:25">
      <c r="A30" s="6">
        <v>22</v>
      </c>
      <c r="B30" s="12"/>
      <c r="C30" s="12"/>
      <c r="D30" s="12" t="str">
        <f>IF(C30="","",VLOOKUP(C30,'Product formulation'!B:E,4,FALSE))</f>
        <v/>
      </c>
      <c r="E30" s="128"/>
      <c r="F30" s="231">
        <f t="shared" si="0"/>
        <v>0</v>
      </c>
      <c r="G30" s="12"/>
      <c r="H30" s="12"/>
      <c r="I30" s="14" t="str">
        <f>IF(H30=Hoja2!$B$2,"Y","N")</f>
        <v>N</v>
      </c>
      <c r="J30" s="14" t="str">
        <f t="shared" si="1"/>
        <v>N</v>
      </c>
      <c r="K30" s="14" t="str">
        <f t="shared" si="2"/>
        <v>N</v>
      </c>
      <c r="L30" s="14" t="str">
        <f t="shared" si="3"/>
        <v>N</v>
      </c>
      <c r="M30" s="126">
        <f t="shared" si="4"/>
        <v>0</v>
      </c>
      <c r="N30" s="125"/>
      <c r="O30" s="12"/>
      <c r="P30" s="11"/>
      <c r="Q30" s="11"/>
      <c r="R30" s="12"/>
      <c r="S30" s="12"/>
      <c r="X30" s="230">
        <v>341</v>
      </c>
    </row>
    <row r="31" spans="1:25">
      <c r="A31" s="6">
        <v>23</v>
      </c>
      <c r="B31" s="12"/>
      <c r="C31" s="12"/>
      <c r="D31" s="12" t="str">
        <f>IF(C31="","",VLOOKUP(C31,'Product formulation'!B:E,4,FALSE))</f>
        <v/>
      </c>
      <c r="E31" s="128"/>
      <c r="F31" s="231">
        <f t="shared" si="0"/>
        <v>0</v>
      </c>
      <c r="G31" s="12"/>
      <c r="H31" s="12"/>
      <c r="I31" s="14" t="str">
        <f>IF(H31=Hoja2!$B$2,"Y","N")</f>
        <v>N</v>
      </c>
      <c r="J31" s="14" t="str">
        <f t="shared" si="1"/>
        <v>N</v>
      </c>
      <c r="K31" s="14" t="str">
        <f t="shared" si="2"/>
        <v>N</v>
      </c>
      <c r="L31" s="14" t="str">
        <f t="shared" si="3"/>
        <v>N</v>
      </c>
      <c r="M31" s="126">
        <f t="shared" si="4"/>
        <v>0</v>
      </c>
      <c r="N31" s="125"/>
      <c r="O31" s="12"/>
      <c r="P31" s="11"/>
      <c r="Q31" s="11"/>
      <c r="R31" s="12"/>
      <c r="S31" s="12"/>
      <c r="X31" s="230">
        <v>350</v>
      </c>
    </row>
    <row r="32" spans="1:25">
      <c r="A32" s="6">
        <v>24</v>
      </c>
      <c r="B32" s="12"/>
      <c r="C32" s="12"/>
      <c r="D32" s="12" t="str">
        <f>IF(C32="","",VLOOKUP(C32,'Product formulation'!B:E,4,FALSE))</f>
        <v/>
      </c>
      <c r="E32" s="128"/>
      <c r="F32" s="231">
        <f t="shared" si="0"/>
        <v>0</v>
      </c>
      <c r="G32" s="12"/>
      <c r="H32" s="12"/>
      <c r="I32" s="14" t="str">
        <f>IF(H32=Hoja2!$B$2,"Y","N")</f>
        <v>N</v>
      </c>
      <c r="J32" s="14" t="str">
        <f t="shared" si="1"/>
        <v>N</v>
      </c>
      <c r="K32" s="14" t="str">
        <f t="shared" si="2"/>
        <v>N</v>
      </c>
      <c r="L32" s="14" t="str">
        <f t="shared" si="3"/>
        <v>N</v>
      </c>
      <c r="M32" s="126">
        <f t="shared" si="4"/>
        <v>0</v>
      </c>
      <c r="N32" s="125"/>
      <c r="O32" s="12"/>
      <c r="P32" s="11"/>
      <c r="Q32" s="11"/>
      <c r="R32" s="12"/>
      <c r="S32" s="12"/>
      <c r="X32" s="230">
        <v>351</v>
      </c>
    </row>
    <row r="33" spans="1:24">
      <c r="A33" s="6">
        <v>25</v>
      </c>
      <c r="B33" s="12"/>
      <c r="C33" s="12"/>
      <c r="D33" s="12" t="str">
        <f>IF(C33="","",VLOOKUP(C33,'Product formulation'!B:E,4,FALSE))</f>
        <v/>
      </c>
      <c r="E33" s="128"/>
      <c r="F33" s="231">
        <f t="shared" si="0"/>
        <v>0</v>
      </c>
      <c r="G33" s="12"/>
      <c r="H33" s="12"/>
      <c r="I33" s="14" t="str">
        <f>IF(H33=Hoja2!$B$2,"Y","N")</f>
        <v>N</v>
      </c>
      <c r="J33" s="14" t="str">
        <f t="shared" si="1"/>
        <v>N</v>
      </c>
      <c r="K33" s="14" t="str">
        <f t="shared" si="2"/>
        <v>N</v>
      </c>
      <c r="L33" s="14" t="str">
        <f t="shared" si="3"/>
        <v>N</v>
      </c>
      <c r="M33" s="126">
        <f t="shared" si="4"/>
        <v>0</v>
      </c>
      <c r="N33" s="125"/>
      <c r="O33" s="12"/>
      <c r="P33" s="11"/>
      <c r="Q33" s="11"/>
      <c r="R33" s="12"/>
      <c r="S33" s="12"/>
      <c r="X33" s="230">
        <v>360</v>
      </c>
    </row>
    <row r="34" spans="1:24">
      <c r="A34" s="6">
        <v>26</v>
      </c>
      <c r="B34" s="12"/>
      <c r="C34" s="12"/>
      <c r="D34" s="12" t="str">
        <f>IF(C34="","",VLOOKUP(C34,'Product formulation'!B:E,4,FALSE))</f>
        <v/>
      </c>
      <c r="E34" s="128"/>
      <c r="F34" s="231">
        <f t="shared" si="0"/>
        <v>0</v>
      </c>
      <c r="G34" s="12"/>
      <c r="H34" s="12"/>
      <c r="I34" s="14" t="str">
        <f>IF(H34=Hoja2!$B$2,"Y","N")</f>
        <v>N</v>
      </c>
      <c r="J34" s="14" t="str">
        <f t="shared" si="1"/>
        <v>N</v>
      </c>
      <c r="K34" s="14" t="str">
        <f t="shared" si="2"/>
        <v>N</v>
      </c>
      <c r="L34" s="14" t="str">
        <f t="shared" si="3"/>
        <v>N</v>
      </c>
      <c r="M34" s="126">
        <f t="shared" si="4"/>
        <v>0</v>
      </c>
      <c r="N34" s="125"/>
      <c r="O34" s="12"/>
      <c r="P34" s="11"/>
      <c r="Q34" s="11"/>
      <c r="R34" s="12"/>
      <c r="S34" s="12"/>
      <c r="X34" s="230">
        <v>361</v>
      </c>
    </row>
    <row r="35" spans="1:24">
      <c r="A35" s="6">
        <v>27</v>
      </c>
      <c r="B35" s="12"/>
      <c r="C35" s="12"/>
      <c r="D35" s="12" t="str">
        <f>IF(C35="","",VLOOKUP(C35,'Product formulation'!B:E,4,FALSE))</f>
        <v/>
      </c>
      <c r="E35" s="128"/>
      <c r="F35" s="231">
        <f t="shared" si="0"/>
        <v>0</v>
      </c>
      <c r="G35" s="12"/>
      <c r="H35" s="12"/>
      <c r="I35" s="14" t="str">
        <f>IF(H35=Hoja2!$B$2,"Y","N")</f>
        <v>N</v>
      </c>
      <c r="J35" s="14" t="str">
        <f t="shared" si="1"/>
        <v>N</v>
      </c>
      <c r="K35" s="14" t="str">
        <f t="shared" si="2"/>
        <v>N</v>
      </c>
      <c r="L35" s="14" t="str">
        <f t="shared" si="3"/>
        <v>N</v>
      </c>
      <c r="M35" s="126">
        <f t="shared" si="4"/>
        <v>0</v>
      </c>
      <c r="N35" s="125"/>
      <c r="O35" s="12"/>
      <c r="P35" s="11"/>
      <c r="Q35" s="11"/>
      <c r="R35" s="12"/>
      <c r="S35" s="12"/>
      <c r="X35" s="230">
        <v>362</v>
      </c>
    </row>
    <row r="36" spans="1:24">
      <c r="A36" s="6">
        <v>28</v>
      </c>
      <c r="B36" s="12"/>
      <c r="C36" s="12"/>
      <c r="D36" s="12" t="str">
        <f>IF(C36="","",VLOOKUP(C36,'Product formulation'!B:E,4,FALSE))</f>
        <v/>
      </c>
      <c r="E36" s="128"/>
      <c r="F36" s="231">
        <f t="shared" si="0"/>
        <v>0</v>
      </c>
      <c r="G36" s="12"/>
      <c r="H36" s="12"/>
      <c r="I36" s="14" t="str">
        <f>IF(H36=Hoja2!$B$2,"Y","N")</f>
        <v>N</v>
      </c>
      <c r="J36" s="14" t="str">
        <f t="shared" si="1"/>
        <v>N</v>
      </c>
      <c r="K36" s="14" t="str">
        <f t="shared" si="2"/>
        <v>N</v>
      </c>
      <c r="L36" s="14" t="str">
        <f t="shared" si="3"/>
        <v>N</v>
      </c>
      <c r="M36" s="126">
        <f t="shared" si="4"/>
        <v>0</v>
      </c>
      <c r="N36" s="125"/>
      <c r="O36" s="12"/>
      <c r="P36" s="11"/>
      <c r="Q36" s="11"/>
      <c r="R36" s="12"/>
      <c r="S36" s="12"/>
    </row>
    <row r="37" spans="1:24">
      <c r="A37" s="6">
        <v>29</v>
      </c>
      <c r="B37" s="12"/>
      <c r="C37" s="12"/>
      <c r="D37" s="12" t="str">
        <f>IF(C37="","",VLOOKUP(C37,'Product formulation'!B:E,4,FALSE))</f>
        <v/>
      </c>
      <c r="E37" s="128"/>
      <c r="F37" s="231">
        <f t="shared" si="0"/>
        <v>0</v>
      </c>
      <c r="G37" s="12"/>
      <c r="H37" s="12"/>
      <c r="I37" s="14" t="str">
        <f>IF(H37=Hoja2!$B$2,"Y","N")</f>
        <v>N</v>
      </c>
      <c r="J37" s="14" t="str">
        <f t="shared" si="1"/>
        <v>N</v>
      </c>
      <c r="K37" s="14" t="str">
        <f t="shared" si="2"/>
        <v>N</v>
      </c>
      <c r="L37" s="14" t="str">
        <f t="shared" si="3"/>
        <v>N</v>
      </c>
      <c r="M37" s="126">
        <f t="shared" si="4"/>
        <v>0</v>
      </c>
      <c r="N37" s="125"/>
      <c r="O37" s="12"/>
      <c r="P37" s="11"/>
      <c r="Q37" s="11"/>
      <c r="R37" s="12"/>
      <c r="S37" s="12"/>
    </row>
    <row r="38" spans="1:24">
      <c r="A38" s="6">
        <v>30</v>
      </c>
      <c r="B38" s="12"/>
      <c r="C38" s="12"/>
      <c r="D38" s="12" t="str">
        <f>IF(C38="","",VLOOKUP(C38,'Product formulation'!B:E,4,FALSE))</f>
        <v/>
      </c>
      <c r="E38" s="128"/>
      <c r="F38" s="231">
        <f t="shared" si="0"/>
        <v>0</v>
      </c>
      <c r="G38" s="12"/>
      <c r="H38" s="12"/>
      <c r="I38" s="14" t="str">
        <f>IF(H38=Hoja2!$B$2,"Y","N")</f>
        <v>N</v>
      </c>
      <c r="J38" s="14" t="str">
        <f t="shared" si="1"/>
        <v>N</v>
      </c>
      <c r="K38" s="14" t="str">
        <f t="shared" si="2"/>
        <v>N</v>
      </c>
      <c r="L38" s="14" t="str">
        <f t="shared" si="3"/>
        <v>N</v>
      </c>
      <c r="M38" s="126">
        <f t="shared" si="4"/>
        <v>0</v>
      </c>
      <c r="N38" s="125"/>
      <c r="O38" s="12"/>
      <c r="P38" s="11"/>
      <c r="Q38" s="11"/>
      <c r="R38" s="12"/>
      <c r="S38" s="12"/>
    </row>
    <row r="39" spans="1:24">
      <c r="A39" s="6">
        <v>31</v>
      </c>
      <c r="B39" s="12"/>
      <c r="C39" s="12"/>
      <c r="D39" s="12" t="str">
        <f>IF(C39="","",VLOOKUP(C39,'Product formulation'!B:E,4,FALSE))</f>
        <v/>
      </c>
      <c r="E39" s="128"/>
      <c r="F39" s="231">
        <f t="shared" si="0"/>
        <v>0</v>
      </c>
      <c r="G39" s="12"/>
      <c r="H39" s="12"/>
      <c r="I39" s="14" t="str">
        <f>IF(H39=Hoja2!$B$2,"Y","N")</f>
        <v>N</v>
      </c>
      <c r="J39" s="14" t="str">
        <f t="shared" si="1"/>
        <v>N</v>
      </c>
      <c r="K39" s="14" t="str">
        <f t="shared" si="2"/>
        <v>N</v>
      </c>
      <c r="L39" s="14" t="str">
        <f t="shared" si="3"/>
        <v>N</v>
      </c>
      <c r="M39" s="126">
        <f t="shared" si="4"/>
        <v>0</v>
      </c>
      <c r="N39" s="125"/>
      <c r="O39" s="12"/>
      <c r="P39" s="11"/>
      <c r="Q39" s="11"/>
      <c r="R39" s="12"/>
      <c r="S39" s="12"/>
    </row>
    <row r="40" spans="1:24">
      <c r="A40" s="6">
        <v>32</v>
      </c>
      <c r="B40" s="12"/>
      <c r="C40" s="12"/>
      <c r="D40" s="12" t="str">
        <f>IF(C40="","",VLOOKUP(C40,'Product formulation'!B:E,4,FALSE))</f>
        <v/>
      </c>
      <c r="E40" s="128"/>
      <c r="F40" s="231">
        <f t="shared" si="0"/>
        <v>0</v>
      </c>
      <c r="G40" s="12"/>
      <c r="H40" s="12"/>
      <c r="I40" s="14" t="str">
        <f>IF(H40=Hoja2!$B$2,"Y","N")</f>
        <v>N</v>
      </c>
      <c r="J40" s="14" t="str">
        <f t="shared" si="1"/>
        <v>N</v>
      </c>
      <c r="K40" s="14" t="str">
        <f t="shared" si="2"/>
        <v>N</v>
      </c>
      <c r="L40" s="14" t="str">
        <f t="shared" si="3"/>
        <v>N</v>
      </c>
      <c r="M40" s="126">
        <f t="shared" si="4"/>
        <v>0</v>
      </c>
      <c r="N40" s="125"/>
      <c r="O40" s="12"/>
      <c r="P40" s="11"/>
      <c r="Q40" s="11"/>
      <c r="R40" s="12"/>
      <c r="S40" s="12"/>
    </row>
    <row r="41" spans="1:24">
      <c r="A41" s="6">
        <v>33</v>
      </c>
      <c r="B41" s="12"/>
      <c r="C41" s="12"/>
      <c r="D41" s="12" t="str">
        <f>IF(C41="","",VLOOKUP(C41,'Product formulation'!B:E,4,FALSE))</f>
        <v/>
      </c>
      <c r="E41" s="128"/>
      <c r="F41" s="231">
        <f t="shared" si="0"/>
        <v>0</v>
      </c>
      <c r="G41" s="12"/>
      <c r="H41" s="12"/>
      <c r="I41" s="14" t="str">
        <f>IF(H41=Hoja2!$B$2,"Y","N")</f>
        <v>N</v>
      </c>
      <c r="J41" s="14" t="str">
        <f t="shared" si="1"/>
        <v>N</v>
      </c>
      <c r="K41" s="14" t="str">
        <f t="shared" si="2"/>
        <v>N</v>
      </c>
      <c r="L41" s="14" t="str">
        <f t="shared" si="3"/>
        <v>N</v>
      </c>
      <c r="M41" s="126">
        <f t="shared" si="4"/>
        <v>0</v>
      </c>
      <c r="N41" s="125"/>
      <c r="O41" s="12"/>
      <c r="P41" s="11"/>
      <c r="Q41" s="11"/>
      <c r="R41" s="12"/>
      <c r="S41" s="12"/>
    </row>
    <row r="42" spans="1:24">
      <c r="A42" s="6">
        <v>34</v>
      </c>
      <c r="B42" s="12"/>
      <c r="C42" s="12"/>
      <c r="D42" s="12" t="str">
        <f>IF(C42="","",VLOOKUP(C42,'Product formulation'!B:E,4,FALSE))</f>
        <v/>
      </c>
      <c r="E42" s="128"/>
      <c r="F42" s="231">
        <f t="shared" si="0"/>
        <v>0</v>
      </c>
      <c r="G42" s="12"/>
      <c r="H42" s="12"/>
      <c r="I42" s="14" t="str">
        <f>IF(H42=Hoja2!$B$2,"Y","N")</f>
        <v>N</v>
      </c>
      <c r="J42" s="14" t="str">
        <f t="shared" si="1"/>
        <v>N</v>
      </c>
      <c r="K42" s="14" t="str">
        <f t="shared" si="2"/>
        <v>N</v>
      </c>
      <c r="L42" s="14" t="str">
        <f t="shared" si="3"/>
        <v>N</v>
      </c>
      <c r="M42" s="126">
        <f t="shared" si="4"/>
        <v>0</v>
      </c>
      <c r="N42" s="125"/>
      <c r="O42" s="12"/>
      <c r="P42" s="11"/>
      <c r="Q42" s="11"/>
      <c r="R42" s="12"/>
      <c r="S42" s="12"/>
    </row>
    <row r="43" spans="1:24">
      <c r="A43" s="6">
        <v>35</v>
      </c>
      <c r="B43" s="12"/>
      <c r="C43" s="12"/>
      <c r="D43" s="12" t="str">
        <f>IF(C43="","",VLOOKUP(C43,'Product formulation'!B:E,4,FALSE))</f>
        <v/>
      </c>
      <c r="E43" s="128"/>
      <c r="F43" s="231">
        <f t="shared" si="0"/>
        <v>0</v>
      </c>
      <c r="G43" s="12"/>
      <c r="H43" s="12"/>
      <c r="I43" s="14" t="str">
        <f>IF(H43=Hoja2!$B$2,"Y","N")</f>
        <v>N</v>
      </c>
      <c r="J43" s="14" t="str">
        <f t="shared" si="1"/>
        <v>N</v>
      </c>
      <c r="K43" s="14" t="str">
        <f t="shared" si="2"/>
        <v>N</v>
      </c>
      <c r="L43" s="14" t="str">
        <f t="shared" si="3"/>
        <v>N</v>
      </c>
      <c r="M43" s="126">
        <f t="shared" si="4"/>
        <v>0</v>
      </c>
      <c r="N43" s="125"/>
      <c r="O43" s="12"/>
      <c r="P43" s="11"/>
      <c r="Q43" s="11"/>
      <c r="R43" s="12"/>
      <c r="S43" s="12"/>
    </row>
    <row r="44" spans="1:24">
      <c r="A44" s="6">
        <v>36</v>
      </c>
      <c r="B44" s="12"/>
      <c r="C44" s="12"/>
      <c r="D44" s="12" t="str">
        <f>IF(C44="","",VLOOKUP(C44,'Product formulation'!B:E,4,FALSE))</f>
        <v/>
      </c>
      <c r="E44" s="128"/>
      <c r="F44" s="231">
        <f t="shared" si="0"/>
        <v>0</v>
      </c>
      <c r="G44" s="12"/>
      <c r="H44" s="12"/>
      <c r="I44" s="14" t="str">
        <f>IF(H44=Hoja2!$B$2,"Y","N")</f>
        <v>N</v>
      </c>
      <c r="J44" s="14" t="str">
        <f t="shared" si="1"/>
        <v>N</v>
      </c>
      <c r="K44" s="14" t="str">
        <f t="shared" si="2"/>
        <v>N</v>
      </c>
      <c r="L44" s="14" t="str">
        <f t="shared" si="3"/>
        <v>N</v>
      </c>
      <c r="M44" s="126">
        <f t="shared" si="4"/>
        <v>0</v>
      </c>
      <c r="N44" s="125"/>
      <c r="O44" s="12"/>
      <c r="P44" s="11"/>
      <c r="Q44" s="11"/>
      <c r="R44" s="12"/>
      <c r="S44" s="12"/>
    </row>
    <row r="45" spans="1:24">
      <c r="A45" s="6">
        <v>37</v>
      </c>
      <c r="B45" s="12"/>
      <c r="C45" s="12"/>
      <c r="D45" s="12" t="str">
        <f>IF(C45="","",VLOOKUP(C45,'Product formulation'!B:E,4,FALSE))</f>
        <v/>
      </c>
      <c r="E45" s="128"/>
      <c r="F45" s="231">
        <f t="shared" si="0"/>
        <v>0</v>
      </c>
      <c r="G45" s="12"/>
      <c r="H45" s="12"/>
      <c r="I45" s="14" t="str">
        <f>IF(H45=Hoja2!$B$2,"Y","N")</f>
        <v>N</v>
      </c>
      <c r="J45" s="14" t="str">
        <f t="shared" si="1"/>
        <v>N</v>
      </c>
      <c r="K45" s="14" t="str">
        <f t="shared" si="2"/>
        <v>N</v>
      </c>
      <c r="L45" s="14" t="str">
        <f t="shared" si="3"/>
        <v>N</v>
      </c>
      <c r="M45" s="126">
        <f t="shared" si="4"/>
        <v>0</v>
      </c>
      <c r="N45" s="125"/>
      <c r="O45" s="12"/>
      <c r="P45" s="11"/>
      <c r="Q45" s="11"/>
      <c r="R45" s="12"/>
      <c r="S45" s="12"/>
    </row>
    <row r="46" spans="1:24">
      <c r="A46" s="6">
        <v>38</v>
      </c>
      <c r="B46" s="12"/>
      <c r="C46" s="12"/>
      <c r="D46" s="12" t="str">
        <f>IF(C46="","",VLOOKUP(C46,'Product formulation'!B:E,4,FALSE))</f>
        <v/>
      </c>
      <c r="E46" s="128"/>
      <c r="F46" s="231">
        <f t="shared" si="0"/>
        <v>0</v>
      </c>
      <c r="G46" s="12"/>
      <c r="H46" s="12"/>
      <c r="I46" s="14" t="str">
        <f>IF(H46=Hoja2!$B$2,"Y","N")</f>
        <v>N</v>
      </c>
      <c r="J46" s="14" t="str">
        <f t="shared" si="1"/>
        <v>N</v>
      </c>
      <c r="K46" s="14" t="str">
        <f t="shared" si="2"/>
        <v>N</v>
      </c>
      <c r="L46" s="14" t="str">
        <f t="shared" si="3"/>
        <v>N</v>
      </c>
      <c r="M46" s="126">
        <f t="shared" si="4"/>
        <v>0</v>
      </c>
      <c r="N46" s="125"/>
      <c r="O46" s="12"/>
      <c r="P46" s="11"/>
      <c r="Q46" s="11"/>
      <c r="R46" s="12"/>
      <c r="S46" s="12"/>
    </row>
    <row r="47" spans="1:24">
      <c r="A47" s="6">
        <v>39</v>
      </c>
      <c r="B47" s="12"/>
      <c r="C47" s="12"/>
      <c r="D47" s="12" t="str">
        <f>IF(C47="","",VLOOKUP(C47,'Product formulation'!B:E,4,FALSE))</f>
        <v/>
      </c>
      <c r="E47" s="128"/>
      <c r="F47" s="231">
        <f t="shared" si="0"/>
        <v>0</v>
      </c>
      <c r="G47" s="12"/>
      <c r="H47" s="12"/>
      <c r="I47" s="14" t="str">
        <f>IF(H47=Hoja2!$B$2,"Y","N")</f>
        <v>N</v>
      </c>
      <c r="J47" s="14" t="str">
        <f t="shared" si="1"/>
        <v>N</v>
      </c>
      <c r="K47" s="14" t="str">
        <f t="shared" si="2"/>
        <v>N</v>
      </c>
      <c r="L47" s="14" t="str">
        <f t="shared" si="3"/>
        <v>N</v>
      </c>
      <c r="M47" s="126">
        <f t="shared" si="4"/>
        <v>0</v>
      </c>
      <c r="N47" s="125"/>
      <c r="O47" s="12"/>
      <c r="P47" s="11"/>
      <c r="Q47" s="11"/>
      <c r="R47" s="12"/>
      <c r="S47" s="12"/>
    </row>
    <row r="48" spans="1:24">
      <c r="A48" s="6">
        <v>40</v>
      </c>
      <c r="B48" s="12"/>
      <c r="C48" s="12"/>
      <c r="D48" s="12" t="str">
        <f>IF(C48="","",VLOOKUP(C48,'Product formulation'!B:E,4,FALSE))</f>
        <v/>
      </c>
      <c r="E48" s="128"/>
      <c r="F48" s="231">
        <f t="shared" si="0"/>
        <v>0</v>
      </c>
      <c r="G48" s="12"/>
      <c r="H48" s="12"/>
      <c r="I48" s="14" t="str">
        <f>IF(H48=Hoja2!$B$2,"Y","N")</f>
        <v>N</v>
      </c>
      <c r="J48" s="14" t="str">
        <f t="shared" si="1"/>
        <v>N</v>
      </c>
      <c r="K48" s="14" t="str">
        <f t="shared" si="2"/>
        <v>N</v>
      </c>
      <c r="L48" s="14" t="str">
        <f t="shared" si="3"/>
        <v>N</v>
      </c>
      <c r="M48" s="126">
        <f t="shared" si="4"/>
        <v>0</v>
      </c>
      <c r="N48" s="125"/>
      <c r="O48" s="12"/>
      <c r="P48" s="11"/>
      <c r="Q48" s="11"/>
      <c r="R48" s="12"/>
      <c r="S48" s="12"/>
    </row>
    <row r="49" spans="1:19">
      <c r="A49" s="6">
        <v>41</v>
      </c>
      <c r="B49" s="12"/>
      <c r="C49" s="12"/>
      <c r="D49" s="12" t="str">
        <f>IF(C49="","",VLOOKUP(C49,'Product formulation'!B:E,4,FALSE))</f>
        <v/>
      </c>
      <c r="E49" s="128"/>
      <c r="F49" s="231">
        <f t="shared" si="0"/>
        <v>0</v>
      </c>
      <c r="G49" s="12"/>
      <c r="H49" s="12"/>
      <c r="I49" s="14" t="str">
        <f>IF(H49=Hoja2!$B$2,"Y","N")</f>
        <v>N</v>
      </c>
      <c r="J49" s="14" t="str">
        <f t="shared" si="1"/>
        <v>N</v>
      </c>
      <c r="K49" s="14" t="str">
        <f t="shared" si="2"/>
        <v>N</v>
      </c>
      <c r="L49" s="14" t="str">
        <f t="shared" si="3"/>
        <v>N</v>
      </c>
      <c r="M49" s="126">
        <f t="shared" si="4"/>
        <v>0</v>
      </c>
      <c r="N49" s="125"/>
      <c r="O49" s="12"/>
      <c r="P49" s="11"/>
      <c r="Q49" s="11"/>
      <c r="R49" s="12"/>
      <c r="S49" s="12"/>
    </row>
    <row r="50" spans="1:19">
      <c r="A50" s="6">
        <v>42</v>
      </c>
      <c r="B50" s="12"/>
      <c r="C50" s="12"/>
      <c r="D50" s="12" t="str">
        <f>IF(C50="","",VLOOKUP(C50,'Product formulation'!B:E,4,FALSE))</f>
        <v/>
      </c>
      <c r="E50" s="128"/>
      <c r="F50" s="231">
        <f t="shared" si="0"/>
        <v>0</v>
      </c>
      <c r="G50" s="12"/>
      <c r="H50" s="12"/>
      <c r="I50" s="14" t="str">
        <f>IF(H50=Hoja2!$B$2,"Y","N")</f>
        <v>N</v>
      </c>
      <c r="J50" s="14" t="str">
        <f t="shared" si="1"/>
        <v>N</v>
      </c>
      <c r="K50" s="14" t="str">
        <f t="shared" si="2"/>
        <v>N</v>
      </c>
      <c r="L50" s="14" t="str">
        <f t="shared" si="3"/>
        <v>N</v>
      </c>
      <c r="M50" s="126">
        <f t="shared" si="4"/>
        <v>0</v>
      </c>
      <c r="N50" s="125"/>
      <c r="O50" s="12"/>
      <c r="P50" s="11"/>
      <c r="Q50" s="11"/>
      <c r="R50" s="12"/>
      <c r="S50" s="12"/>
    </row>
    <row r="51" spans="1:19">
      <c r="A51" s="6">
        <v>43</v>
      </c>
      <c r="B51" s="12"/>
      <c r="C51" s="12"/>
      <c r="D51" s="12" t="str">
        <f>IF(C51="","",VLOOKUP(C51,'Product formulation'!B:E,4,FALSE))</f>
        <v/>
      </c>
      <c r="E51" s="128"/>
      <c r="F51" s="231">
        <f t="shared" si="0"/>
        <v>0</v>
      </c>
      <c r="G51" s="12"/>
      <c r="H51" s="12"/>
      <c r="I51" s="14" t="str">
        <f>IF(H51=Hoja2!$B$2,"Y","N")</f>
        <v>N</v>
      </c>
      <c r="J51" s="14" t="str">
        <f t="shared" si="1"/>
        <v>N</v>
      </c>
      <c r="K51" s="14" t="str">
        <f t="shared" si="2"/>
        <v>N</v>
      </c>
      <c r="L51" s="14" t="str">
        <f t="shared" si="3"/>
        <v>N</v>
      </c>
      <c r="M51" s="126">
        <f t="shared" si="4"/>
        <v>0</v>
      </c>
      <c r="N51" s="125"/>
      <c r="O51" s="12"/>
      <c r="P51" s="11"/>
      <c r="Q51" s="11"/>
      <c r="R51" s="12"/>
      <c r="S51" s="12"/>
    </row>
    <row r="52" spans="1:19">
      <c r="A52" s="6">
        <v>44</v>
      </c>
      <c r="B52" s="12"/>
      <c r="C52" s="12"/>
      <c r="D52" s="12" t="str">
        <f>IF(C52="","",VLOOKUP(C52,'Product formulation'!B:E,4,FALSE))</f>
        <v/>
      </c>
      <c r="E52" s="128"/>
      <c r="F52" s="231">
        <f t="shared" si="0"/>
        <v>0</v>
      </c>
      <c r="G52" s="12"/>
      <c r="H52" s="12"/>
      <c r="I52" s="14" t="str">
        <f>IF(H52=Hoja2!$B$2,"Y","N")</f>
        <v>N</v>
      </c>
      <c r="J52" s="14" t="str">
        <f t="shared" si="1"/>
        <v>N</v>
      </c>
      <c r="K52" s="14" t="str">
        <f t="shared" si="2"/>
        <v>N</v>
      </c>
      <c r="L52" s="14" t="str">
        <f t="shared" si="3"/>
        <v>N</v>
      </c>
      <c r="M52" s="126">
        <f t="shared" si="4"/>
        <v>0</v>
      </c>
      <c r="N52" s="125"/>
      <c r="O52" s="12"/>
      <c r="P52" s="11"/>
      <c r="Q52" s="11"/>
      <c r="R52" s="12"/>
      <c r="S52" s="12"/>
    </row>
    <row r="53" spans="1:19">
      <c r="A53" s="6">
        <v>45</v>
      </c>
      <c r="B53" s="12"/>
      <c r="C53" s="12"/>
      <c r="D53" s="12" t="str">
        <f>IF(C53="","",VLOOKUP(C53,'Product formulation'!B:E,4,FALSE))</f>
        <v/>
      </c>
      <c r="E53" s="128"/>
      <c r="F53" s="231">
        <f t="shared" si="0"/>
        <v>0</v>
      </c>
      <c r="G53" s="12"/>
      <c r="H53" s="12"/>
      <c r="I53" s="14" t="str">
        <f>IF(H53=Hoja2!$B$2,"Y","N")</f>
        <v>N</v>
      </c>
      <c r="J53" s="14" t="str">
        <f t="shared" si="1"/>
        <v>N</v>
      </c>
      <c r="K53" s="14" t="str">
        <f t="shared" si="2"/>
        <v>N</v>
      </c>
      <c r="L53" s="14" t="str">
        <f t="shared" si="3"/>
        <v>N</v>
      </c>
      <c r="M53" s="126">
        <f t="shared" si="4"/>
        <v>0</v>
      </c>
      <c r="N53" s="125"/>
      <c r="O53" s="12"/>
      <c r="P53" s="11"/>
      <c r="Q53" s="11"/>
      <c r="R53" s="12"/>
      <c r="S53" s="12"/>
    </row>
    <row r="54" spans="1:19">
      <c r="A54" s="6">
        <v>46</v>
      </c>
      <c r="B54" s="12"/>
      <c r="C54" s="12"/>
      <c r="D54" s="12" t="str">
        <f>IF(C54="","",VLOOKUP(C54,'Product formulation'!B:E,4,FALSE))</f>
        <v/>
      </c>
      <c r="E54" s="128"/>
      <c r="F54" s="231">
        <f t="shared" si="0"/>
        <v>0</v>
      </c>
      <c r="G54" s="12"/>
      <c r="H54" s="12"/>
      <c r="I54" s="14" t="str">
        <f>IF(H54=Hoja2!$B$2,"Y","N")</f>
        <v>N</v>
      </c>
      <c r="J54" s="14" t="str">
        <f t="shared" si="1"/>
        <v>N</v>
      </c>
      <c r="K54" s="14" t="str">
        <f t="shared" si="2"/>
        <v>N</v>
      </c>
      <c r="L54" s="14" t="str">
        <f t="shared" si="3"/>
        <v>N</v>
      </c>
      <c r="M54" s="126">
        <f t="shared" si="4"/>
        <v>0</v>
      </c>
      <c r="N54" s="125"/>
      <c r="O54" s="12"/>
      <c r="P54" s="11"/>
      <c r="Q54" s="11"/>
      <c r="R54" s="12"/>
      <c r="S54" s="12"/>
    </row>
    <row r="55" spans="1:19">
      <c r="A55" s="6">
        <v>47</v>
      </c>
      <c r="B55" s="12"/>
      <c r="C55" s="12"/>
      <c r="D55" s="12" t="str">
        <f>IF(C55="","",VLOOKUP(C55,'Product formulation'!B:E,4,FALSE))</f>
        <v/>
      </c>
      <c r="E55" s="128"/>
      <c r="F55" s="231">
        <f t="shared" si="0"/>
        <v>0</v>
      </c>
      <c r="G55" s="12"/>
      <c r="H55" s="12"/>
      <c r="I55" s="14" t="str">
        <f>IF(H55=Hoja2!$B$2,"Y","N")</f>
        <v>N</v>
      </c>
      <c r="J55" s="14" t="str">
        <f t="shared" si="1"/>
        <v>N</v>
      </c>
      <c r="K55" s="14" t="str">
        <f t="shared" si="2"/>
        <v>N</v>
      </c>
      <c r="L55" s="14" t="str">
        <f t="shared" si="3"/>
        <v>N</v>
      </c>
      <c r="M55" s="126">
        <f t="shared" si="4"/>
        <v>0</v>
      </c>
      <c r="N55" s="125"/>
      <c r="O55" s="12"/>
      <c r="P55" s="11"/>
      <c r="Q55" s="11"/>
      <c r="R55" s="12"/>
      <c r="S55" s="12"/>
    </row>
    <row r="56" spans="1:19">
      <c r="A56" s="6">
        <v>48</v>
      </c>
      <c r="B56" s="12"/>
      <c r="C56" s="12"/>
      <c r="D56" s="12" t="str">
        <f>IF(C56="","",VLOOKUP(C56,'Product formulation'!B:E,4,FALSE))</f>
        <v/>
      </c>
      <c r="E56" s="128"/>
      <c r="F56" s="231">
        <f t="shared" si="0"/>
        <v>0</v>
      </c>
      <c r="G56" s="12"/>
      <c r="H56" s="12"/>
      <c r="I56" s="14" t="str">
        <f>IF(H56=Hoja2!$B$2,"Y","N")</f>
        <v>N</v>
      </c>
      <c r="J56" s="14" t="str">
        <f t="shared" si="1"/>
        <v>N</v>
      </c>
      <c r="K56" s="14" t="str">
        <f t="shared" si="2"/>
        <v>N</v>
      </c>
      <c r="L56" s="14" t="str">
        <f t="shared" si="3"/>
        <v>N</v>
      </c>
      <c r="M56" s="126">
        <f t="shared" si="4"/>
        <v>0</v>
      </c>
      <c r="N56" s="125"/>
      <c r="O56" s="12"/>
      <c r="P56" s="11"/>
      <c r="Q56" s="11"/>
      <c r="R56" s="12"/>
      <c r="S56" s="12"/>
    </row>
    <row r="57" spans="1:19">
      <c r="A57" s="6">
        <v>49</v>
      </c>
      <c r="B57" s="12"/>
      <c r="C57" s="12"/>
      <c r="D57" s="12" t="str">
        <f>IF(C57="","",VLOOKUP(C57,'Product formulation'!B:E,4,FALSE))</f>
        <v/>
      </c>
      <c r="E57" s="128"/>
      <c r="F57" s="231">
        <f t="shared" si="0"/>
        <v>0</v>
      </c>
      <c r="G57" s="12"/>
      <c r="H57" s="12"/>
      <c r="I57" s="14" t="str">
        <f>IF(H57=Hoja2!$B$2,"Y","N")</f>
        <v>N</v>
      </c>
      <c r="J57" s="14" t="str">
        <f t="shared" si="1"/>
        <v>N</v>
      </c>
      <c r="K57" s="14" t="str">
        <f t="shared" si="2"/>
        <v>N</v>
      </c>
      <c r="L57" s="14" t="str">
        <f t="shared" si="3"/>
        <v>N</v>
      </c>
      <c r="M57" s="126">
        <f t="shared" si="4"/>
        <v>0</v>
      </c>
      <c r="N57" s="125"/>
      <c r="O57" s="12"/>
      <c r="P57" s="11"/>
      <c r="Q57" s="11"/>
      <c r="R57" s="12"/>
      <c r="S57" s="12"/>
    </row>
    <row r="58" spans="1:19" ht="13.5" thickBot="1">
      <c r="A58" s="6">
        <v>50</v>
      </c>
      <c r="B58" s="12"/>
      <c r="C58" s="12"/>
      <c r="D58" s="12" t="str">
        <f>IF(C58="","",VLOOKUP(C58,'Product formulation'!B:E,4,FALSE))</f>
        <v/>
      </c>
      <c r="E58" s="128"/>
      <c r="F58" s="231">
        <f t="shared" si="0"/>
        <v>0</v>
      </c>
      <c r="G58" s="12"/>
      <c r="H58" s="12"/>
      <c r="I58" s="14" t="str">
        <f>IF(H58=Hoja2!$B$2,"Y","N")</f>
        <v>N</v>
      </c>
      <c r="J58" s="14" t="str">
        <f t="shared" si="1"/>
        <v>N</v>
      </c>
      <c r="K58" s="14" t="str">
        <f t="shared" si="2"/>
        <v>N</v>
      </c>
      <c r="L58" s="14" t="str">
        <f t="shared" si="3"/>
        <v>N</v>
      </c>
      <c r="M58" s="126">
        <f t="shared" si="4"/>
        <v>0</v>
      </c>
      <c r="N58" s="125"/>
      <c r="O58" s="12"/>
      <c r="P58" s="11"/>
      <c r="Q58" s="11"/>
      <c r="R58" s="12"/>
      <c r="S58" s="12"/>
    </row>
    <row r="59" spans="1:19" ht="18.75" thickBot="1">
      <c r="B59" s="4" t="s">
        <v>26</v>
      </c>
      <c r="M59" s="248">
        <f>SUM(M9:M58)</f>
        <v>0</v>
      </c>
    </row>
    <row r="61" spans="1:19">
      <c r="B61" s="3" t="s">
        <v>534</v>
      </c>
    </row>
    <row r="62" spans="1:19">
      <c r="B62" s="316"/>
      <c r="C62" s="317"/>
      <c r="D62" s="317"/>
      <c r="E62" s="317"/>
      <c r="F62" s="317"/>
      <c r="G62" s="317"/>
      <c r="H62" s="318"/>
    </row>
    <row r="63" spans="1:19">
      <c r="B63" s="319"/>
      <c r="C63" s="320"/>
      <c r="D63" s="320"/>
      <c r="E63" s="320"/>
      <c r="F63" s="320"/>
      <c r="G63" s="320"/>
      <c r="H63" s="321"/>
    </row>
    <row r="64" spans="1:19">
      <c r="B64" s="319"/>
      <c r="C64" s="320"/>
      <c r="D64" s="320"/>
      <c r="E64" s="320"/>
      <c r="F64" s="320"/>
      <c r="G64" s="320"/>
      <c r="H64" s="321"/>
    </row>
    <row r="65" spans="2:8">
      <c r="B65" s="322"/>
      <c r="C65" s="323"/>
      <c r="D65" s="323"/>
      <c r="E65" s="323"/>
      <c r="F65" s="323"/>
      <c r="G65" s="323"/>
      <c r="H65" s="324"/>
    </row>
  </sheetData>
  <sheetProtection algorithmName="SHA-512" hashValue="sI2fIcP756VkhqRlcxZH2rxjCB8BYdVYoxPGSdvMAhKZ6oz4o69rb7Ulszohh9T4bBpzFSn0w0ikTG1jlclbqg==" saltValue="FBsiKClEFGsNbl49AQz4ig==" spinCount="100000" sheet="1" selectLockedCells="1"/>
  <mergeCells count="7">
    <mergeCell ref="B62:H65"/>
    <mergeCell ref="B1:E1"/>
    <mergeCell ref="B7:B8"/>
    <mergeCell ref="Q7:Q8"/>
    <mergeCell ref="G7:G8"/>
    <mergeCell ref="C2:E2"/>
    <mergeCell ref="C3:E3"/>
  </mergeCells>
  <conditionalFormatting sqref="C10:G58 M10:Q58">
    <cfRule type="expression" dxfId="72" priority="33">
      <formula>ISBLANK($B10)</formula>
    </cfRule>
  </conditionalFormatting>
  <conditionalFormatting sqref="M10:M58">
    <cfRule type="cellIs" dxfId="71" priority="32" operator="greaterThan">
      <formula>0.01</formula>
    </cfRule>
  </conditionalFormatting>
  <conditionalFormatting sqref="H10:L58">
    <cfRule type="expression" dxfId="70" priority="28">
      <formula>ISBLANK($B10)</formula>
    </cfRule>
  </conditionalFormatting>
  <conditionalFormatting sqref="S10:S58">
    <cfRule type="expression" dxfId="69" priority="24">
      <formula>ISBLANK($B10)</formula>
    </cfRule>
  </conditionalFormatting>
  <conditionalFormatting sqref="R10:R58">
    <cfRule type="expression" dxfId="68" priority="12">
      <formula>ISBLANK($B10)</formula>
    </cfRule>
  </conditionalFormatting>
  <conditionalFormatting sqref="O10:O58">
    <cfRule type="expression" dxfId="67" priority="7">
      <formula>SUMPRODUCT(ISNUMBER(FIND($X$10:$X$35,O10))*1)&gt;0</formula>
    </cfRule>
  </conditionalFormatting>
  <conditionalFormatting sqref="O10">
    <cfRule type="expression" priority="6">
      <formula>$O$10=300</formula>
    </cfRule>
  </conditionalFormatting>
  <conditionalFormatting sqref="P10:Q58">
    <cfRule type="expression" dxfId="66" priority="3">
      <formula>$H10="UV filter"</formula>
    </cfRule>
    <cfRule type="expression" dxfId="65" priority="4">
      <formula>$H10="Colorant"</formula>
    </cfRule>
    <cfRule type="expression" dxfId="64" priority="5">
      <formula>$H10="Preservative"</formula>
    </cfRule>
  </conditionalFormatting>
  <conditionalFormatting sqref="Q10:Q58">
    <cfRule type="expression" dxfId="63" priority="1">
      <formula>AND($P10="BCF",$Q10&gt;=500)</formula>
    </cfRule>
    <cfRule type="expression" dxfId="62" priority="2">
      <formula>AND($P10="log Kow",$Q10&gt;=4)</formula>
    </cfRule>
  </conditionalFormatting>
  <conditionalFormatting sqref="N10:N58">
    <cfRule type="expression" dxfId="61" priority="58">
      <formula>$M10&gt;0.01</formula>
    </cfRule>
    <cfRule type="expression" dxfId="60" priority="59">
      <formula>SUMPRODUCT(ISNUMBER(FIND($X$10:$X$35,N10))*1)&gt;0</formula>
    </cfRule>
  </conditionalFormatting>
  <dataValidations count="2">
    <dataValidation type="list" allowBlank="1" showInputMessage="1" showErrorMessage="1" sqref="C10:C58" xr:uid="{00000000-0002-0000-0200-000000000000}">
      <formula1>Trade_name</formula1>
    </dataValidation>
    <dataValidation type="list" allowBlank="1" showInputMessage="1" showErrorMessage="1" sqref="R10:S58" xr:uid="{00000000-0002-0000-0200-000001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Hoja2!$B$16:$B$17</xm:f>
          </x14:formula1>
          <xm:sqref>O10:O58</xm:sqref>
        </x14:dataValidation>
        <x14:dataValidation type="list" allowBlank="1" showInputMessage="1" showErrorMessage="1" xr:uid="{00000000-0002-0000-0200-000003000000}">
          <x14:formula1>
            <xm:f>Hoja2!$B$2:$B$6</xm:f>
          </x14:formula1>
          <xm:sqref>H10:H58</xm:sqref>
        </x14:dataValidation>
        <x14:dataValidation type="list" allowBlank="1" showInputMessage="1" showErrorMessage="1" xr:uid="{00000000-0002-0000-0200-000004000000}">
          <x14:formula1>
            <xm:f>Hoja2!$B$8:$B$10</xm:f>
          </x14:formula1>
          <xm:sqref>P10:P58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1">
    <outlinePr showOutlineSymbols="0"/>
  </sheetPr>
  <dimension ref="A1:Q64"/>
  <sheetViews>
    <sheetView showZeros="0" showOutlineSymbols="0" zoomScale="70" zoomScaleNormal="70" workbookViewId="0">
      <selection activeCell="B61" sqref="B61:H64"/>
    </sheetView>
  </sheetViews>
  <sheetFormatPr defaultColWidth="11.42578125" defaultRowHeight="12.75"/>
  <cols>
    <col min="1" max="1" width="5.42578125" style="3" customWidth="1"/>
    <col min="2" max="2" width="30.7109375" style="3" customWidth="1"/>
    <col min="3" max="3" width="20.28515625" style="3" bestFit="1" customWidth="1"/>
    <col min="4" max="4" width="20.7109375" style="3" customWidth="1"/>
    <col min="5" max="5" width="11.7109375" style="3" customWidth="1"/>
    <col min="6" max="6" width="35" style="3" bestFit="1" customWidth="1"/>
    <col min="7" max="7" width="17" style="3" customWidth="1"/>
    <col min="8" max="11" width="9.5703125" style="3" customWidth="1"/>
    <col min="12" max="15" width="9.140625" style="3" customWidth="1"/>
    <col min="16" max="16" width="13" style="3" customWidth="1"/>
    <col min="17" max="17" width="10.5703125" style="3" hidden="1" customWidth="1"/>
    <col min="18" max="18" width="11.42578125" style="3" customWidth="1"/>
    <col min="19" max="16384" width="11.42578125" style="3"/>
  </cols>
  <sheetData>
    <row r="1" spans="1:17">
      <c r="B1" s="330" t="s">
        <v>460</v>
      </c>
      <c r="C1" s="331"/>
      <c r="D1" s="331"/>
      <c r="E1" s="133"/>
    </row>
    <row r="2" spans="1:17">
      <c r="B2" s="132" t="s">
        <v>309</v>
      </c>
      <c r="C2" s="335">
        <f>'Product formulation'!C2</f>
        <v>0</v>
      </c>
      <c r="D2" s="336"/>
      <c r="E2" s="232"/>
    </row>
    <row r="3" spans="1:17">
      <c r="B3" s="132" t="s">
        <v>9</v>
      </c>
      <c r="C3" s="338" t="str">
        <f>'Product formulation'!C4</f>
        <v>Rinse-off products for animal care</v>
      </c>
      <c r="D3" s="340"/>
      <c r="E3" s="232"/>
    </row>
    <row r="5" spans="1:17" s="225" customFormat="1" ht="15.75">
      <c r="A5" s="225" t="s">
        <v>396</v>
      </c>
    </row>
    <row r="7" spans="1:17" s="2" customFormat="1" ht="25.5" customHeight="1">
      <c r="A7" s="5"/>
      <c r="B7" s="325" t="s">
        <v>12</v>
      </c>
      <c r="C7" s="221" t="s">
        <v>13</v>
      </c>
      <c r="D7" s="333" t="s">
        <v>398</v>
      </c>
      <c r="E7" s="333" t="s">
        <v>400</v>
      </c>
      <c r="F7" s="333" t="s">
        <v>401</v>
      </c>
      <c r="G7" s="221" t="s">
        <v>17</v>
      </c>
      <c r="H7" s="343" t="s">
        <v>310</v>
      </c>
      <c r="I7" s="344"/>
      <c r="J7" s="344"/>
      <c r="K7" s="345"/>
      <c r="L7" s="341" t="s">
        <v>42</v>
      </c>
      <c r="M7" s="341" t="s">
        <v>298</v>
      </c>
      <c r="N7" s="341" t="s">
        <v>219</v>
      </c>
      <c r="O7" s="341" t="s">
        <v>297</v>
      </c>
      <c r="P7" s="221" t="s">
        <v>311</v>
      </c>
    </row>
    <row r="8" spans="1:17" s="2" customFormat="1" ht="25.5">
      <c r="A8" s="5"/>
      <c r="B8" s="325"/>
      <c r="C8" s="226" t="s">
        <v>14</v>
      </c>
      <c r="D8" s="334"/>
      <c r="E8" s="334"/>
      <c r="F8" s="334"/>
      <c r="G8" s="226" t="s">
        <v>7</v>
      </c>
      <c r="H8" s="226" t="s">
        <v>42</v>
      </c>
      <c r="I8" s="226" t="s">
        <v>298</v>
      </c>
      <c r="J8" s="226" t="s">
        <v>219</v>
      </c>
      <c r="K8" s="226" t="s">
        <v>297</v>
      </c>
      <c r="L8" s="342"/>
      <c r="M8" s="342"/>
      <c r="N8" s="342"/>
      <c r="O8" s="342"/>
      <c r="P8" s="226" t="s">
        <v>14</v>
      </c>
    </row>
    <row r="9" spans="1:17">
      <c r="A9" s="6">
        <v>1</v>
      </c>
      <c r="B9" s="25" t="s">
        <v>11</v>
      </c>
      <c r="C9" s="25"/>
      <c r="D9" s="25"/>
      <c r="E9" s="25"/>
      <c r="F9" s="25"/>
      <c r="G9" s="7">
        <f>'Ingoing substances'!M9</f>
        <v>0</v>
      </c>
      <c r="H9" s="7"/>
      <c r="I9" s="7"/>
      <c r="J9" s="7"/>
      <c r="K9" s="7"/>
      <c r="L9" s="25"/>
      <c r="M9" s="25"/>
      <c r="N9" s="25"/>
      <c r="O9" s="25"/>
      <c r="P9" s="25"/>
    </row>
    <row r="10" spans="1:17">
      <c r="A10" s="6">
        <v>2</v>
      </c>
      <c r="B10" s="7" t="str">
        <f>IF('Ingoing substances'!B10="","",'Ingoing substances'!B10)</f>
        <v/>
      </c>
      <c r="C10" s="7" t="str">
        <f>IF('Ingoing substances'!C10="","",'Ingoing substances'!C10)</f>
        <v/>
      </c>
      <c r="D10" s="7" t="str">
        <f>IF('Ingoing substances'!G10="","",'Ingoing substances'!G10)</f>
        <v/>
      </c>
      <c r="E10" s="12"/>
      <c r="F10" s="7" t="str">
        <f>IF(E10="","",VLOOKUP($E10,'DID-list_Part A'!$A$8:$L$245,3,FALSE))</f>
        <v/>
      </c>
      <c r="G10" s="7">
        <f>'Ingoing substances'!M10</f>
        <v>0</v>
      </c>
      <c r="H10" s="11"/>
      <c r="I10" s="11"/>
      <c r="J10" s="11"/>
      <c r="K10" s="11"/>
      <c r="L10" s="7" t="str">
        <f>IF($E10="","",IF($E10="not included",H10,VLOOKUP($E10,'DID-list_Part A'!$A$8:$L$245,10,FALSE)))</f>
        <v/>
      </c>
      <c r="M10" s="7" t="str">
        <f>IF($E10="","",IF($E10="not included",I10,VLOOKUP($E10,'DID-list_Part A'!$A$8:$L$245,9,FALSE)))</f>
        <v/>
      </c>
      <c r="N10" s="7" t="str">
        <f>IF($E10="","",IF($E10="not included",J10,VLOOKUP($E10,'DID-list_Part A'!$A$8:$L$245,11,FALSE)))</f>
        <v/>
      </c>
      <c r="O10" s="7" t="str">
        <f>IF($E10="","",IF($E10="not included",K10,VLOOKUP($E10,'DID-list_Part A'!$A$8:$L$245,12,FALSE)))</f>
        <v/>
      </c>
      <c r="P10" s="11"/>
      <c r="Q10" s="255" t="str">
        <f>IF(OR(P10="1. low adsorption (A&lt;25%)",P10="2. high desorption (D&gt;75%)",P10="3. non-bioaccumulating",P10="Test present"),"Y","N")</f>
        <v>N</v>
      </c>
    </row>
    <row r="11" spans="1:17">
      <c r="A11" s="6">
        <v>3</v>
      </c>
      <c r="B11" s="7" t="str">
        <f>IF('Ingoing substances'!B11="","",'Ingoing substances'!B11)</f>
        <v/>
      </c>
      <c r="C11" s="7" t="str">
        <f>IF('Ingoing substances'!C11="","",'Ingoing substances'!C11)</f>
        <v/>
      </c>
      <c r="D11" s="7" t="str">
        <f>IF('Ingoing substances'!G11="","",'Ingoing substances'!G11)</f>
        <v/>
      </c>
      <c r="E11" s="12"/>
      <c r="F11" s="7" t="str">
        <f>IF(E11="","",VLOOKUP($E11,'DID-list_Part A'!$A$8:$L$245,3,FALSE))</f>
        <v/>
      </c>
      <c r="G11" s="7">
        <f>'Ingoing substances'!M11</f>
        <v>0</v>
      </c>
      <c r="H11" s="11"/>
      <c r="I11" s="11"/>
      <c r="J11" s="11"/>
      <c r="K11" s="11"/>
      <c r="L11" s="7" t="str">
        <f>IF($E11="","",IF($E11="not included",H11,VLOOKUP($E11,'DID-list_Part A'!$A$8:$L$245,10,FALSE)))</f>
        <v/>
      </c>
      <c r="M11" s="7" t="str">
        <f>IF($E11="","",IF($E11="not included",I11,VLOOKUP($E11,'DID-list_Part A'!$A$8:$L$245,9,FALSE)))</f>
        <v/>
      </c>
      <c r="N11" s="7" t="str">
        <f>IF($E11="","",IF($E11="not included",J11,VLOOKUP($E11,'DID-list_Part A'!$A$8:$L$245,11,FALSE)))</f>
        <v/>
      </c>
      <c r="O11" s="7" t="str">
        <f>IF($E11="","",IF($E11="not included",K11,VLOOKUP($E11,'DID-list_Part A'!$A$8:$L$245,12,FALSE)))</f>
        <v/>
      </c>
      <c r="P11" s="11"/>
    </row>
    <row r="12" spans="1:17">
      <c r="A12" s="6">
        <v>4</v>
      </c>
      <c r="B12" s="7" t="str">
        <f>IF('Ingoing substances'!B12="","",'Ingoing substances'!B12)</f>
        <v/>
      </c>
      <c r="C12" s="7" t="str">
        <f>IF('Ingoing substances'!C12="","",'Ingoing substances'!C12)</f>
        <v/>
      </c>
      <c r="D12" s="7" t="str">
        <f>IF('Ingoing substances'!G12="","",'Ingoing substances'!G12)</f>
        <v/>
      </c>
      <c r="E12" s="12"/>
      <c r="F12" s="7" t="str">
        <f>IF(E12="","",VLOOKUP($E12,'DID-list_Part A'!$A$8:$L$245,3,FALSE))</f>
        <v/>
      </c>
      <c r="G12" s="7">
        <f>'Ingoing substances'!M12</f>
        <v>0</v>
      </c>
      <c r="H12" s="11"/>
      <c r="I12" s="11"/>
      <c r="J12" s="11"/>
      <c r="K12" s="11"/>
      <c r="L12" s="7" t="str">
        <f>IF($E12="","",IF($E12="not included",H12,VLOOKUP($E12,'DID-list_Part A'!$A$8:$L$245,10,FALSE)))</f>
        <v/>
      </c>
      <c r="M12" s="7" t="str">
        <f>IF($E12="","",IF($E12="not included",I12,VLOOKUP($E12,'DID-list_Part A'!$A$8:$L$245,9,FALSE)))</f>
        <v/>
      </c>
      <c r="N12" s="7" t="str">
        <f>IF($E12="","",IF($E12="not included",J12,VLOOKUP($E12,'DID-list_Part A'!$A$8:$L$245,11,FALSE)))</f>
        <v/>
      </c>
      <c r="O12" s="7" t="str">
        <f>IF($E12="","",IF($E12="not included",K12,VLOOKUP($E12,'DID-list_Part A'!$A$8:$L$245,12,FALSE)))</f>
        <v/>
      </c>
      <c r="P12" s="11"/>
    </row>
    <row r="13" spans="1:17">
      <c r="A13" s="6">
        <v>5</v>
      </c>
      <c r="B13" s="7" t="str">
        <f>IF('Ingoing substances'!B13="","",'Ingoing substances'!B13)</f>
        <v/>
      </c>
      <c r="C13" s="7" t="str">
        <f>IF('Ingoing substances'!C13="","",'Ingoing substances'!C13)</f>
        <v/>
      </c>
      <c r="D13" s="7" t="str">
        <f>IF('Ingoing substances'!G13="","",'Ingoing substances'!G13)</f>
        <v/>
      </c>
      <c r="E13" s="12"/>
      <c r="F13" s="7" t="str">
        <f>IF(E13="","",VLOOKUP($E13,'DID-list_Part A'!$A$8:$L$245,3,FALSE))</f>
        <v/>
      </c>
      <c r="G13" s="26">
        <f>'Ingoing substances'!M13</f>
        <v>0</v>
      </c>
      <c r="H13" s="11"/>
      <c r="I13" s="11"/>
      <c r="J13" s="11"/>
      <c r="K13" s="11"/>
      <c r="L13" s="7" t="str">
        <f>IF($E13="","",IF($E13="not included",H13,VLOOKUP($E13,'DID-list_Part A'!$A$8:$L$245,10,FALSE)))</f>
        <v/>
      </c>
      <c r="M13" s="7" t="str">
        <f>IF($E13="","",IF($E13="not included",I13,VLOOKUP($E13,'DID-list_Part A'!$A$8:$L$245,9,FALSE)))</f>
        <v/>
      </c>
      <c r="N13" s="7" t="str">
        <f>IF($E13="","",IF($E13="not included",J13,VLOOKUP($E13,'DID-list_Part A'!$A$8:$L$245,11,FALSE)))</f>
        <v/>
      </c>
      <c r="O13" s="7" t="str">
        <f>IF($E13="","",IF($E13="not included",K13,VLOOKUP($E13,'DID-list_Part A'!$A$8:$L$245,12,FALSE)))</f>
        <v/>
      </c>
      <c r="P13" s="11"/>
    </row>
    <row r="14" spans="1:17">
      <c r="A14" s="6">
        <v>6</v>
      </c>
      <c r="B14" s="7" t="str">
        <f>IF('Ingoing substances'!B14="","",'Ingoing substances'!B14)</f>
        <v/>
      </c>
      <c r="C14" s="7" t="str">
        <f>IF('Ingoing substances'!C14="","",'Ingoing substances'!C14)</f>
        <v/>
      </c>
      <c r="D14" s="7" t="str">
        <f>IF('Ingoing substances'!G14="","",'Ingoing substances'!G14)</f>
        <v/>
      </c>
      <c r="E14" s="12"/>
      <c r="F14" s="7" t="str">
        <f>IF(E14="","",VLOOKUP($E14,'DID-list_Part A'!$A$8:$L$245,3,FALSE))</f>
        <v/>
      </c>
      <c r="G14" s="7">
        <f>'Ingoing substances'!M14</f>
        <v>0</v>
      </c>
      <c r="H14" s="11"/>
      <c r="I14" s="11"/>
      <c r="J14" s="11"/>
      <c r="K14" s="11"/>
      <c r="L14" s="7" t="str">
        <f>IF($E14="","",IF($E14="not included",H14,VLOOKUP($E14,'DID-list_Part A'!$A$8:$L$245,10,FALSE)))</f>
        <v/>
      </c>
      <c r="M14" s="7" t="str">
        <f>IF($E14="","",IF($E14="not included",I14,VLOOKUP($E14,'DID-list_Part A'!$A$8:$L$245,9,FALSE)))</f>
        <v/>
      </c>
      <c r="N14" s="7" t="str">
        <f>IF($E14="","",IF($E14="not included",J14,VLOOKUP($E14,'DID-list_Part A'!$A$8:$L$245,11,FALSE)))</f>
        <v/>
      </c>
      <c r="O14" s="7" t="str">
        <f>IF($E14="","",IF($E14="not included",K14,VLOOKUP($E14,'DID-list_Part A'!$A$8:$L$245,12,FALSE)))</f>
        <v/>
      </c>
      <c r="P14" s="11"/>
    </row>
    <row r="15" spans="1:17">
      <c r="A15" s="6">
        <v>7</v>
      </c>
      <c r="B15" s="7" t="str">
        <f>IF('Ingoing substances'!B15="","",'Ingoing substances'!B15)</f>
        <v/>
      </c>
      <c r="C15" s="7" t="str">
        <f>IF('Ingoing substances'!C15="","",'Ingoing substances'!C15)</f>
        <v/>
      </c>
      <c r="D15" s="7" t="str">
        <f>IF('Ingoing substances'!G15="","",'Ingoing substances'!G15)</f>
        <v/>
      </c>
      <c r="E15" s="12"/>
      <c r="F15" s="7" t="str">
        <f>IF(E15="","",VLOOKUP($E15,'DID-list_Part A'!$A$8:$L$245,3,FALSE))</f>
        <v/>
      </c>
      <c r="G15" s="7">
        <f>'Ingoing substances'!M15</f>
        <v>0</v>
      </c>
      <c r="H15" s="11"/>
      <c r="I15" s="11"/>
      <c r="J15" s="11"/>
      <c r="K15" s="11"/>
      <c r="L15" s="7" t="str">
        <f>IF($E15="","",IF($E15="not included",H15,VLOOKUP($E15,'DID-list_Part A'!$A$8:$L$245,10,FALSE)))</f>
        <v/>
      </c>
      <c r="M15" s="7" t="str">
        <f>IF($E15="","",IF($E15="not included",I15,VLOOKUP($E15,'DID-list_Part A'!$A$8:$L$245,9,FALSE)))</f>
        <v/>
      </c>
      <c r="N15" s="7" t="str">
        <f>IF($E15="","",IF($E15="not included",J15,VLOOKUP($E15,'DID-list_Part A'!$A$8:$L$245,11,FALSE)))</f>
        <v/>
      </c>
      <c r="O15" s="7" t="str">
        <f>IF($E15="","",IF($E15="not included",K15,VLOOKUP($E15,'DID-list_Part A'!$A$8:$L$245,12,FALSE)))</f>
        <v/>
      </c>
      <c r="P15" s="11"/>
    </row>
    <row r="16" spans="1:17">
      <c r="A16" s="6">
        <v>8</v>
      </c>
      <c r="B16" s="7" t="str">
        <f>IF('Ingoing substances'!B16="","",'Ingoing substances'!B16)</f>
        <v/>
      </c>
      <c r="C16" s="7" t="str">
        <f>IF('Ingoing substances'!C16="","",'Ingoing substances'!C16)</f>
        <v/>
      </c>
      <c r="D16" s="7" t="str">
        <f>IF('Ingoing substances'!G16="","",'Ingoing substances'!G16)</f>
        <v/>
      </c>
      <c r="E16" s="12"/>
      <c r="F16" s="7" t="str">
        <f>IF(E16="","",VLOOKUP($E16,'DID-list_Part A'!$A$8:$L$245,3,FALSE))</f>
        <v/>
      </c>
      <c r="G16" s="7">
        <f>'Ingoing substances'!M16</f>
        <v>0</v>
      </c>
      <c r="H16" s="11"/>
      <c r="I16" s="11"/>
      <c r="J16" s="11"/>
      <c r="K16" s="11"/>
      <c r="L16" s="7" t="str">
        <f>IF($E16="","",IF($E16="not included",H16,VLOOKUP($E16,'DID-list_Part A'!$A$8:$L$245,10,FALSE)))</f>
        <v/>
      </c>
      <c r="M16" s="7" t="str">
        <f>IF($E16="","",IF($E16="not included",I16,VLOOKUP($E16,'DID-list_Part A'!$A$8:$L$245,9,FALSE)))</f>
        <v/>
      </c>
      <c r="N16" s="7" t="str">
        <f>IF($E16="","",IF($E16="not included",J16,VLOOKUP($E16,'DID-list_Part A'!$A$8:$L$245,11,FALSE)))</f>
        <v/>
      </c>
      <c r="O16" s="7" t="str">
        <f>IF($E16="","",IF($E16="not included",K16,VLOOKUP($E16,'DID-list_Part A'!$A$8:$L$245,12,FALSE)))</f>
        <v/>
      </c>
      <c r="P16" s="11"/>
    </row>
    <row r="17" spans="1:16">
      <c r="A17" s="6">
        <v>9</v>
      </c>
      <c r="B17" s="7" t="str">
        <f>IF('Ingoing substances'!B17="","",'Ingoing substances'!B17)</f>
        <v/>
      </c>
      <c r="C17" s="7" t="str">
        <f>IF('Ingoing substances'!C17="","",'Ingoing substances'!C17)</f>
        <v/>
      </c>
      <c r="D17" s="7" t="str">
        <f>IF('Ingoing substances'!G17="","",'Ingoing substances'!G17)</f>
        <v/>
      </c>
      <c r="E17" s="12"/>
      <c r="F17" s="7" t="str">
        <f>IF(E17="","",VLOOKUP($E17,'DID-list_Part A'!$A$8:$L$245,3,FALSE))</f>
        <v/>
      </c>
      <c r="G17" s="7">
        <f>'Ingoing substances'!M17</f>
        <v>0</v>
      </c>
      <c r="H17" s="11"/>
      <c r="I17" s="11"/>
      <c r="J17" s="11"/>
      <c r="K17" s="11"/>
      <c r="L17" s="7" t="str">
        <f>IF($E17="","",IF($E17="not included",H17,VLOOKUP($E17,'DID-list_Part A'!$A$8:$L$245,10,FALSE)))</f>
        <v/>
      </c>
      <c r="M17" s="7" t="str">
        <f>IF($E17="","",IF($E17="not included",I17,VLOOKUP($E17,'DID-list_Part A'!$A$8:$L$245,9,FALSE)))</f>
        <v/>
      </c>
      <c r="N17" s="7" t="str">
        <f>IF($E17="","",IF($E17="not included",J17,VLOOKUP($E17,'DID-list_Part A'!$A$8:$L$245,11,FALSE)))</f>
        <v/>
      </c>
      <c r="O17" s="7" t="str">
        <f>IF($E17="","",IF($E17="not included",K17,VLOOKUP($E17,'DID-list_Part A'!$A$8:$L$245,12,FALSE)))</f>
        <v/>
      </c>
      <c r="P17" s="11"/>
    </row>
    <row r="18" spans="1:16">
      <c r="A18" s="6">
        <v>10</v>
      </c>
      <c r="B18" s="7" t="str">
        <f>IF('Ingoing substances'!B18="","",'Ingoing substances'!B18)</f>
        <v/>
      </c>
      <c r="C18" s="7" t="str">
        <f>IF('Ingoing substances'!C18="","",'Ingoing substances'!C18)</f>
        <v/>
      </c>
      <c r="D18" s="7" t="str">
        <f>IF('Ingoing substances'!G18="","",'Ingoing substances'!G18)</f>
        <v/>
      </c>
      <c r="E18" s="12"/>
      <c r="F18" s="7" t="str">
        <f>IF(E18="","",VLOOKUP($E18,'DID-list_Part A'!$A$8:$L$245,3,FALSE))</f>
        <v/>
      </c>
      <c r="G18" s="7">
        <f>'Ingoing substances'!M18</f>
        <v>0</v>
      </c>
      <c r="H18" s="11"/>
      <c r="I18" s="11"/>
      <c r="J18" s="11"/>
      <c r="K18" s="11"/>
      <c r="L18" s="7" t="str">
        <f>IF($E18="","",IF($E18="not included",H18,VLOOKUP($E18,'DID-list_Part A'!$A$8:$L$245,10,FALSE)))</f>
        <v/>
      </c>
      <c r="M18" s="7" t="str">
        <f>IF($E18="","",IF($E18="not included",I18,VLOOKUP($E18,'DID-list_Part A'!$A$8:$L$245,9,FALSE)))</f>
        <v/>
      </c>
      <c r="N18" s="7" t="str">
        <f>IF($E18="","",IF($E18="not included",J18,VLOOKUP($E18,'DID-list_Part A'!$A$8:$L$245,11,FALSE)))</f>
        <v/>
      </c>
      <c r="O18" s="7" t="str">
        <f>IF($E18="","",IF($E18="not included",K18,VLOOKUP($E18,'DID-list_Part A'!$A$8:$L$245,12,FALSE)))</f>
        <v/>
      </c>
      <c r="P18" s="11"/>
    </row>
    <row r="19" spans="1:16">
      <c r="A19" s="6">
        <v>11</v>
      </c>
      <c r="B19" s="7" t="str">
        <f>IF('Ingoing substances'!B19="","",'Ingoing substances'!B19)</f>
        <v/>
      </c>
      <c r="C19" s="7" t="str">
        <f>IF('Ingoing substances'!C19="","",'Ingoing substances'!C19)</f>
        <v/>
      </c>
      <c r="D19" s="7" t="str">
        <f>IF('Ingoing substances'!G19="","",'Ingoing substances'!G19)</f>
        <v/>
      </c>
      <c r="E19" s="12"/>
      <c r="F19" s="7" t="str">
        <f>IF(E19="","",VLOOKUP($E19,'DID-list_Part A'!$A$8:$L$245,3,FALSE))</f>
        <v/>
      </c>
      <c r="G19" s="7">
        <f>'Ingoing substances'!M19</f>
        <v>0</v>
      </c>
      <c r="H19" s="11"/>
      <c r="I19" s="11"/>
      <c r="J19" s="11"/>
      <c r="K19" s="11"/>
      <c r="L19" s="7" t="str">
        <f>IF($E19="","",IF($E19="not included",H19,VLOOKUP($E19,'DID-list_Part A'!$A$8:$L$245,10,FALSE)))</f>
        <v/>
      </c>
      <c r="M19" s="7" t="str">
        <f>IF($E19="","",IF($E19="not included",I19,VLOOKUP($E19,'DID-list_Part A'!$A$8:$L$245,9,FALSE)))</f>
        <v/>
      </c>
      <c r="N19" s="7" t="str">
        <f>IF($E19="","",IF($E19="not included",J19,VLOOKUP($E19,'DID-list_Part A'!$A$8:$L$245,11,FALSE)))</f>
        <v/>
      </c>
      <c r="O19" s="7" t="str">
        <f>IF($E19="","",IF($E19="not included",K19,VLOOKUP($E19,'DID-list_Part A'!$A$8:$L$245,12,FALSE)))</f>
        <v/>
      </c>
      <c r="P19" s="11"/>
    </row>
    <row r="20" spans="1:16">
      <c r="A20" s="6">
        <v>12</v>
      </c>
      <c r="B20" s="7" t="str">
        <f>IF('Ingoing substances'!B20="","",'Ingoing substances'!B20)</f>
        <v/>
      </c>
      <c r="C20" s="7" t="str">
        <f>IF('Ingoing substances'!C20="","",'Ingoing substances'!C20)</f>
        <v/>
      </c>
      <c r="D20" s="7" t="str">
        <f>IF('Ingoing substances'!G20="","",'Ingoing substances'!G20)</f>
        <v/>
      </c>
      <c r="E20" s="12"/>
      <c r="F20" s="7" t="str">
        <f>IF(E20="","",VLOOKUP($E20,'DID-list_Part A'!$A$8:$L$245,3,FALSE))</f>
        <v/>
      </c>
      <c r="G20" s="7">
        <f>'Ingoing substances'!M20</f>
        <v>0</v>
      </c>
      <c r="H20" s="11"/>
      <c r="I20" s="11"/>
      <c r="J20" s="11"/>
      <c r="K20" s="11"/>
      <c r="L20" s="7" t="str">
        <f>IF($E20="","",IF($E20="not included",H20,VLOOKUP($E20,'DID-list_Part A'!$A$8:$L$245,10,FALSE)))</f>
        <v/>
      </c>
      <c r="M20" s="7" t="str">
        <f>IF($E20="","",IF($E20="not included",I20,VLOOKUP($E20,'DID-list_Part A'!$A$8:$L$245,9,FALSE)))</f>
        <v/>
      </c>
      <c r="N20" s="7" t="str">
        <f>IF($E20="","",IF($E20="not included",J20,VLOOKUP($E20,'DID-list_Part A'!$A$8:$L$245,11,FALSE)))</f>
        <v/>
      </c>
      <c r="O20" s="7" t="str">
        <f>IF($E20="","",IF($E20="not included",K20,VLOOKUP($E20,'DID-list_Part A'!$A$8:$L$245,12,FALSE)))</f>
        <v/>
      </c>
      <c r="P20" s="11"/>
    </row>
    <row r="21" spans="1:16">
      <c r="A21" s="6">
        <v>13</v>
      </c>
      <c r="B21" s="7" t="str">
        <f>IF('Ingoing substances'!B21="","",'Ingoing substances'!B21)</f>
        <v/>
      </c>
      <c r="C21" s="7" t="str">
        <f>IF('Ingoing substances'!C21="","",'Ingoing substances'!C21)</f>
        <v/>
      </c>
      <c r="D21" s="7" t="str">
        <f>IF('Ingoing substances'!G21="","",'Ingoing substances'!G21)</f>
        <v/>
      </c>
      <c r="E21" s="12"/>
      <c r="F21" s="7" t="str">
        <f>IF(E21="","",VLOOKUP($E21,'DID-list_Part A'!$A$8:$L$245,3,FALSE))</f>
        <v/>
      </c>
      <c r="G21" s="7">
        <f>'Ingoing substances'!M21</f>
        <v>0</v>
      </c>
      <c r="H21" s="11"/>
      <c r="I21" s="11"/>
      <c r="J21" s="11"/>
      <c r="K21" s="11"/>
      <c r="L21" s="7" t="str">
        <f>IF($E21="","",IF($E21="not included",H21,VLOOKUP($E21,'DID-list_Part A'!$A$8:$L$245,10,FALSE)))</f>
        <v/>
      </c>
      <c r="M21" s="7" t="str">
        <f>IF($E21="","",IF($E21="not included",I21,VLOOKUP($E21,'DID-list_Part A'!$A$8:$L$245,9,FALSE)))</f>
        <v/>
      </c>
      <c r="N21" s="7" t="str">
        <f>IF($E21="","",IF($E21="not included",J21,VLOOKUP($E21,'DID-list_Part A'!$A$8:$L$245,11,FALSE)))</f>
        <v/>
      </c>
      <c r="O21" s="7" t="str">
        <f>IF($E21="","",IF($E21="not included",K21,VLOOKUP($E21,'DID-list_Part A'!$A$8:$L$245,12,FALSE)))</f>
        <v/>
      </c>
      <c r="P21" s="11"/>
    </row>
    <row r="22" spans="1:16">
      <c r="A22" s="6">
        <v>14</v>
      </c>
      <c r="B22" s="7" t="str">
        <f>IF('Ingoing substances'!B22="","",'Ingoing substances'!B22)</f>
        <v/>
      </c>
      <c r="C22" s="7" t="str">
        <f>IF('Ingoing substances'!C22="","",'Ingoing substances'!C22)</f>
        <v/>
      </c>
      <c r="D22" s="7" t="str">
        <f>IF('Ingoing substances'!G22="","",'Ingoing substances'!G22)</f>
        <v/>
      </c>
      <c r="E22" s="12"/>
      <c r="F22" s="7" t="str">
        <f>IF(E22="","",VLOOKUP($E22,'DID-list_Part A'!$A$8:$L$245,3,FALSE))</f>
        <v/>
      </c>
      <c r="G22" s="7">
        <f>'Ingoing substances'!M22</f>
        <v>0</v>
      </c>
      <c r="H22" s="11"/>
      <c r="I22" s="11"/>
      <c r="J22" s="11"/>
      <c r="K22" s="11"/>
      <c r="L22" s="7" t="str">
        <f>IF($E22="","",IF($E22="not included",H22,VLOOKUP($E22,'DID-list_Part A'!$A$8:$L$245,10,FALSE)))</f>
        <v/>
      </c>
      <c r="M22" s="7" t="str">
        <f>IF($E22="","",IF($E22="not included",I22,VLOOKUP($E22,'DID-list_Part A'!$A$8:$L$245,9,FALSE)))</f>
        <v/>
      </c>
      <c r="N22" s="7" t="str">
        <f>IF($E22="","",IF($E22="not included",J22,VLOOKUP($E22,'DID-list_Part A'!$A$8:$L$245,11,FALSE)))</f>
        <v/>
      </c>
      <c r="O22" s="7" t="str">
        <f>IF($E22="","",IF($E22="not included",K22,VLOOKUP($E22,'DID-list_Part A'!$A$8:$L$245,12,FALSE)))</f>
        <v/>
      </c>
      <c r="P22" s="11"/>
    </row>
    <row r="23" spans="1:16">
      <c r="A23" s="6">
        <v>15</v>
      </c>
      <c r="B23" s="7" t="str">
        <f>IF('Ingoing substances'!B23="","",'Ingoing substances'!B23)</f>
        <v/>
      </c>
      <c r="C23" s="7" t="str">
        <f>IF('Ingoing substances'!C23="","",'Ingoing substances'!C23)</f>
        <v/>
      </c>
      <c r="D23" s="7" t="str">
        <f>IF('Ingoing substances'!G23="","",'Ingoing substances'!G23)</f>
        <v/>
      </c>
      <c r="E23" s="12"/>
      <c r="F23" s="7" t="str">
        <f>IF(E23="","",VLOOKUP($E23,'DID-list_Part A'!$A$8:$L$245,3,FALSE))</f>
        <v/>
      </c>
      <c r="G23" s="7">
        <f>'Ingoing substances'!M23</f>
        <v>0</v>
      </c>
      <c r="H23" s="11"/>
      <c r="I23" s="11"/>
      <c r="J23" s="11"/>
      <c r="K23" s="11"/>
      <c r="L23" s="7" t="str">
        <f>IF($E23="","",IF($E23="not included",H23,VLOOKUP($E23,'DID-list_Part A'!$A$8:$L$245,10,FALSE)))</f>
        <v/>
      </c>
      <c r="M23" s="7" t="str">
        <f>IF($E23="","",IF($E23="not included",I23,VLOOKUP($E23,'DID-list_Part A'!$A$8:$L$245,9,FALSE)))</f>
        <v/>
      </c>
      <c r="N23" s="7" t="str">
        <f>IF($E23="","",IF($E23="not included",J23,VLOOKUP($E23,'DID-list_Part A'!$A$8:$L$245,11,FALSE)))</f>
        <v/>
      </c>
      <c r="O23" s="7" t="str">
        <f>IF($E23="","",IF($E23="not included",K23,VLOOKUP($E23,'DID-list_Part A'!$A$8:$L$245,12,FALSE)))</f>
        <v/>
      </c>
      <c r="P23" s="11"/>
    </row>
    <row r="24" spans="1:16">
      <c r="A24" s="6">
        <v>16</v>
      </c>
      <c r="B24" s="7" t="str">
        <f>IF('Ingoing substances'!B24="","",'Ingoing substances'!B24)</f>
        <v/>
      </c>
      <c r="C24" s="7" t="str">
        <f>IF('Ingoing substances'!C24="","",'Ingoing substances'!C24)</f>
        <v/>
      </c>
      <c r="D24" s="7" t="str">
        <f>IF('Ingoing substances'!G24="","",'Ingoing substances'!G24)</f>
        <v/>
      </c>
      <c r="E24" s="12"/>
      <c r="F24" s="7" t="str">
        <f>IF(E24="","",VLOOKUP($E24,'DID-list_Part A'!$A$8:$L$245,3,FALSE))</f>
        <v/>
      </c>
      <c r="G24" s="7">
        <f>'Ingoing substances'!M24</f>
        <v>0</v>
      </c>
      <c r="H24" s="11"/>
      <c r="I24" s="11"/>
      <c r="J24" s="11"/>
      <c r="K24" s="11"/>
      <c r="L24" s="7" t="str">
        <f>IF($E24="","",IF($E24="not included",H24,VLOOKUP($E24,'DID-list_Part A'!$A$8:$L$245,10,FALSE)))</f>
        <v/>
      </c>
      <c r="M24" s="7" t="str">
        <f>IF($E24="","",IF($E24="not included",I24,VLOOKUP($E24,'DID-list_Part A'!$A$8:$L$245,9,FALSE)))</f>
        <v/>
      </c>
      <c r="N24" s="7" t="str">
        <f>IF($E24="","",IF($E24="not included",J24,VLOOKUP($E24,'DID-list_Part A'!$A$8:$L$245,11,FALSE)))</f>
        <v/>
      </c>
      <c r="O24" s="7" t="str">
        <f>IF($E24="","",IF($E24="not included",K24,VLOOKUP($E24,'DID-list_Part A'!$A$8:$L$245,12,FALSE)))</f>
        <v/>
      </c>
      <c r="P24" s="11"/>
    </row>
    <row r="25" spans="1:16">
      <c r="A25" s="6">
        <v>17</v>
      </c>
      <c r="B25" s="7" t="str">
        <f>IF('Ingoing substances'!B25="","",'Ingoing substances'!B25)</f>
        <v/>
      </c>
      <c r="C25" s="7" t="str">
        <f>IF('Ingoing substances'!C25="","",'Ingoing substances'!C25)</f>
        <v/>
      </c>
      <c r="D25" s="7" t="str">
        <f>IF('Ingoing substances'!G25="","",'Ingoing substances'!G25)</f>
        <v/>
      </c>
      <c r="E25" s="12"/>
      <c r="F25" s="7" t="str">
        <f>IF(E25="","",VLOOKUP($E25,'DID-list_Part A'!$A$8:$L$245,3,FALSE))</f>
        <v/>
      </c>
      <c r="G25" s="7">
        <f>'Ingoing substances'!M25</f>
        <v>0</v>
      </c>
      <c r="H25" s="11"/>
      <c r="I25" s="11"/>
      <c r="J25" s="11"/>
      <c r="K25" s="11"/>
      <c r="L25" s="7" t="str">
        <f>IF($E25="","",IF($E25="not included",H25,VLOOKUP($E25,'DID-list_Part A'!$A$8:$L$245,10,FALSE)))</f>
        <v/>
      </c>
      <c r="M25" s="7" t="str">
        <f>IF($E25="","",IF($E25="not included",I25,VLOOKUP($E25,'DID-list_Part A'!$A$8:$L$245,9,FALSE)))</f>
        <v/>
      </c>
      <c r="N25" s="7" t="str">
        <f>IF($E25="","",IF($E25="not included",J25,VLOOKUP($E25,'DID-list_Part A'!$A$8:$L$245,11,FALSE)))</f>
        <v/>
      </c>
      <c r="O25" s="7" t="str">
        <f>IF($E25="","",IF($E25="not included",K25,VLOOKUP($E25,'DID-list_Part A'!$A$8:$L$245,12,FALSE)))</f>
        <v/>
      </c>
      <c r="P25" s="11"/>
    </row>
    <row r="26" spans="1:16">
      <c r="A26" s="6">
        <v>18</v>
      </c>
      <c r="B26" s="7" t="str">
        <f>IF('Ingoing substances'!B26="","",'Ingoing substances'!B26)</f>
        <v/>
      </c>
      <c r="C26" s="7" t="str">
        <f>IF('Ingoing substances'!C26="","",'Ingoing substances'!C26)</f>
        <v/>
      </c>
      <c r="D26" s="7" t="str">
        <f>IF('Ingoing substances'!G26="","",'Ingoing substances'!G26)</f>
        <v/>
      </c>
      <c r="E26" s="12"/>
      <c r="F26" s="7" t="str">
        <f>IF(E26="","",VLOOKUP($E26,'DID-list_Part A'!$A$8:$L$245,3,FALSE))</f>
        <v/>
      </c>
      <c r="G26" s="7">
        <f>'Ingoing substances'!M26</f>
        <v>0</v>
      </c>
      <c r="H26" s="11"/>
      <c r="I26" s="11"/>
      <c r="J26" s="11"/>
      <c r="K26" s="11"/>
      <c r="L26" s="7" t="str">
        <f>IF($E26="","",IF($E26="not included",H26,VLOOKUP($E26,'DID-list_Part A'!$A$8:$L$245,10,FALSE)))</f>
        <v/>
      </c>
      <c r="M26" s="7" t="str">
        <f>IF($E26="","",IF($E26="not included",I26,VLOOKUP($E26,'DID-list_Part A'!$A$8:$L$245,9,FALSE)))</f>
        <v/>
      </c>
      <c r="N26" s="7" t="str">
        <f>IF($E26="","",IF($E26="not included",J26,VLOOKUP($E26,'DID-list_Part A'!$A$8:$L$245,11,FALSE)))</f>
        <v/>
      </c>
      <c r="O26" s="7" t="str">
        <f>IF($E26="","",IF($E26="not included",K26,VLOOKUP($E26,'DID-list_Part A'!$A$8:$L$245,12,FALSE)))</f>
        <v/>
      </c>
      <c r="P26" s="11"/>
    </row>
    <row r="27" spans="1:16">
      <c r="A27" s="6">
        <v>19</v>
      </c>
      <c r="B27" s="7" t="str">
        <f>IF('Ingoing substances'!B27="","",'Ingoing substances'!B27)</f>
        <v/>
      </c>
      <c r="C27" s="7" t="str">
        <f>IF('Ingoing substances'!C27="","",'Ingoing substances'!C27)</f>
        <v/>
      </c>
      <c r="D27" s="7" t="str">
        <f>IF('Ingoing substances'!G27="","",'Ingoing substances'!G27)</f>
        <v/>
      </c>
      <c r="E27" s="12"/>
      <c r="F27" s="7" t="str">
        <f>IF(E27="","",VLOOKUP($E27,'DID-list_Part A'!$A$8:$L$245,3,FALSE))</f>
        <v/>
      </c>
      <c r="G27" s="7">
        <f>'Ingoing substances'!M27</f>
        <v>0</v>
      </c>
      <c r="H27" s="11"/>
      <c r="I27" s="11"/>
      <c r="J27" s="11"/>
      <c r="K27" s="11"/>
      <c r="L27" s="7" t="str">
        <f>IF($E27="","",IF($E27="not included",H27,VLOOKUP($E27,'DID-list_Part A'!$A$8:$L$245,10,FALSE)))</f>
        <v/>
      </c>
      <c r="M27" s="7" t="str">
        <f>IF($E27="","",IF($E27="not included",I27,VLOOKUP($E27,'DID-list_Part A'!$A$8:$L$245,9,FALSE)))</f>
        <v/>
      </c>
      <c r="N27" s="7" t="str">
        <f>IF($E27="","",IF($E27="not included",J27,VLOOKUP($E27,'DID-list_Part A'!$A$8:$L$245,11,FALSE)))</f>
        <v/>
      </c>
      <c r="O27" s="7" t="str">
        <f>IF($E27="","",IF($E27="not included",K27,VLOOKUP($E27,'DID-list_Part A'!$A$8:$L$245,12,FALSE)))</f>
        <v/>
      </c>
      <c r="P27" s="11"/>
    </row>
    <row r="28" spans="1:16">
      <c r="A28" s="6">
        <v>20</v>
      </c>
      <c r="B28" s="7" t="str">
        <f>IF('Ingoing substances'!B28="","",'Ingoing substances'!B28)</f>
        <v/>
      </c>
      <c r="C28" s="7" t="str">
        <f>IF('Ingoing substances'!C28="","",'Ingoing substances'!C28)</f>
        <v/>
      </c>
      <c r="D28" s="7" t="str">
        <f>IF('Ingoing substances'!G28="","",'Ingoing substances'!G28)</f>
        <v/>
      </c>
      <c r="E28" s="12"/>
      <c r="F28" s="7" t="str">
        <f>IF(E28="","",VLOOKUP($E28,'DID-list_Part A'!$A$8:$L$245,3,FALSE))</f>
        <v/>
      </c>
      <c r="G28" s="7">
        <f>'Ingoing substances'!M28</f>
        <v>0</v>
      </c>
      <c r="H28" s="11"/>
      <c r="I28" s="11"/>
      <c r="J28" s="11"/>
      <c r="K28" s="11"/>
      <c r="L28" s="7" t="str">
        <f>IF($E28="","",IF($E28="not included",H28,VLOOKUP($E28,'DID-list_Part A'!$A$8:$L$245,10,FALSE)))</f>
        <v/>
      </c>
      <c r="M28" s="7" t="str">
        <f>IF($E28="","",IF($E28="not included",I28,VLOOKUP($E28,'DID-list_Part A'!$A$8:$L$245,9,FALSE)))</f>
        <v/>
      </c>
      <c r="N28" s="7" t="str">
        <f>IF($E28="","",IF($E28="not included",J28,VLOOKUP($E28,'DID-list_Part A'!$A$8:$L$245,11,FALSE)))</f>
        <v/>
      </c>
      <c r="O28" s="7" t="str">
        <f>IF($E28="","",IF($E28="not included",K28,VLOOKUP($E28,'DID-list_Part A'!$A$8:$L$245,12,FALSE)))</f>
        <v/>
      </c>
      <c r="P28" s="11"/>
    </row>
    <row r="29" spans="1:16">
      <c r="A29" s="6">
        <v>21</v>
      </c>
      <c r="B29" s="7" t="str">
        <f>IF('Ingoing substances'!B29="","",'Ingoing substances'!B29)</f>
        <v/>
      </c>
      <c r="C29" s="7" t="str">
        <f>IF('Ingoing substances'!C29="","",'Ingoing substances'!C29)</f>
        <v/>
      </c>
      <c r="D29" s="7" t="str">
        <f>IF('Ingoing substances'!G29="","",'Ingoing substances'!G29)</f>
        <v/>
      </c>
      <c r="E29" s="12"/>
      <c r="F29" s="7" t="str">
        <f>IF(E29="","",VLOOKUP($E29,'DID-list_Part A'!$A$8:$L$245,3,FALSE))</f>
        <v/>
      </c>
      <c r="G29" s="7">
        <f>'Ingoing substances'!M29</f>
        <v>0</v>
      </c>
      <c r="H29" s="11"/>
      <c r="I29" s="11"/>
      <c r="J29" s="11"/>
      <c r="K29" s="11"/>
      <c r="L29" s="7" t="str">
        <f>IF($E29="","",IF($E29="not included",H29,VLOOKUP($E29,'DID-list_Part A'!$A$8:$L$245,10,FALSE)))</f>
        <v/>
      </c>
      <c r="M29" s="7" t="str">
        <f>IF($E29="","",IF($E29="not included",I29,VLOOKUP($E29,'DID-list_Part A'!$A$8:$L$245,9,FALSE)))</f>
        <v/>
      </c>
      <c r="N29" s="7" t="str">
        <f>IF($E29="","",IF($E29="not included",J29,VLOOKUP($E29,'DID-list_Part A'!$A$8:$L$245,11,FALSE)))</f>
        <v/>
      </c>
      <c r="O29" s="7" t="str">
        <f>IF($E29="","",IF($E29="not included",K29,VLOOKUP($E29,'DID-list_Part A'!$A$8:$L$245,12,FALSE)))</f>
        <v/>
      </c>
      <c r="P29" s="11"/>
    </row>
    <row r="30" spans="1:16">
      <c r="A30" s="6">
        <v>22</v>
      </c>
      <c r="B30" s="7" t="str">
        <f>IF('Ingoing substances'!B30="","",'Ingoing substances'!B30)</f>
        <v/>
      </c>
      <c r="C30" s="7" t="str">
        <f>IF('Ingoing substances'!C30="","",'Ingoing substances'!C30)</f>
        <v/>
      </c>
      <c r="D30" s="7" t="str">
        <f>IF('Ingoing substances'!G30="","",'Ingoing substances'!G30)</f>
        <v/>
      </c>
      <c r="E30" s="12"/>
      <c r="F30" s="7" t="str">
        <f>IF(E30="","",VLOOKUP($E30,'DID-list_Part A'!$A$8:$L$245,3,FALSE))</f>
        <v/>
      </c>
      <c r="G30" s="7">
        <f>'Ingoing substances'!M30</f>
        <v>0</v>
      </c>
      <c r="H30" s="11"/>
      <c r="I30" s="11"/>
      <c r="J30" s="11"/>
      <c r="K30" s="11"/>
      <c r="L30" s="7" t="str">
        <f>IF($E30="","",IF($E30="not included",H30,VLOOKUP($E30,'DID-list_Part A'!$A$8:$L$245,10,FALSE)))</f>
        <v/>
      </c>
      <c r="M30" s="7" t="str">
        <f>IF($E30="","",IF($E30="not included",I30,VLOOKUP($E30,'DID-list_Part A'!$A$8:$L$245,9,FALSE)))</f>
        <v/>
      </c>
      <c r="N30" s="7" t="str">
        <f>IF($E30="","",IF($E30="not included",J30,VLOOKUP($E30,'DID-list_Part A'!$A$8:$L$245,11,FALSE)))</f>
        <v/>
      </c>
      <c r="O30" s="7" t="str">
        <f>IF($E30="","",IF($E30="not included",K30,VLOOKUP($E30,'DID-list_Part A'!$A$8:$L$245,12,FALSE)))</f>
        <v/>
      </c>
      <c r="P30" s="11"/>
    </row>
    <row r="31" spans="1:16">
      <c r="A31" s="6">
        <v>23</v>
      </c>
      <c r="B31" s="7" t="str">
        <f>IF('Ingoing substances'!B31="","",'Ingoing substances'!B31)</f>
        <v/>
      </c>
      <c r="C31" s="7" t="str">
        <f>IF('Ingoing substances'!C31="","",'Ingoing substances'!C31)</f>
        <v/>
      </c>
      <c r="D31" s="7" t="str">
        <f>IF('Ingoing substances'!G31="","",'Ingoing substances'!G31)</f>
        <v/>
      </c>
      <c r="E31" s="12"/>
      <c r="F31" s="7" t="str">
        <f>IF(E31="","",VLOOKUP($E31,'DID-list_Part A'!$A$8:$L$245,3,FALSE))</f>
        <v/>
      </c>
      <c r="G31" s="7">
        <f>'Ingoing substances'!M31</f>
        <v>0</v>
      </c>
      <c r="H31" s="11"/>
      <c r="I31" s="11"/>
      <c r="J31" s="11"/>
      <c r="K31" s="11"/>
      <c r="L31" s="7" t="str">
        <f>IF($E31="","",IF($E31="not included",H31,VLOOKUP($E31,'DID-list_Part A'!$A$8:$L$245,10,FALSE)))</f>
        <v/>
      </c>
      <c r="M31" s="7" t="str">
        <f>IF($E31="","",IF($E31="not included",I31,VLOOKUP($E31,'DID-list_Part A'!$A$8:$L$245,9,FALSE)))</f>
        <v/>
      </c>
      <c r="N31" s="7" t="str">
        <f>IF($E31="","",IF($E31="not included",J31,VLOOKUP($E31,'DID-list_Part A'!$A$8:$L$245,11,FALSE)))</f>
        <v/>
      </c>
      <c r="O31" s="7" t="str">
        <f>IF($E31="","",IF($E31="not included",K31,VLOOKUP($E31,'DID-list_Part A'!$A$8:$L$245,12,FALSE)))</f>
        <v/>
      </c>
      <c r="P31" s="11"/>
    </row>
    <row r="32" spans="1:16">
      <c r="A32" s="6">
        <v>24</v>
      </c>
      <c r="B32" s="7" t="str">
        <f>IF('Ingoing substances'!B32="","",'Ingoing substances'!B32)</f>
        <v/>
      </c>
      <c r="C32" s="7" t="str">
        <f>IF('Ingoing substances'!C32="","",'Ingoing substances'!C32)</f>
        <v/>
      </c>
      <c r="D32" s="7" t="str">
        <f>IF('Ingoing substances'!G32="","",'Ingoing substances'!G32)</f>
        <v/>
      </c>
      <c r="E32" s="12"/>
      <c r="F32" s="7" t="str">
        <f>IF(E32="","",VLOOKUP($E32,'DID-list_Part A'!$A$8:$L$245,3,FALSE))</f>
        <v/>
      </c>
      <c r="G32" s="7">
        <f>'Ingoing substances'!M32</f>
        <v>0</v>
      </c>
      <c r="H32" s="11"/>
      <c r="I32" s="11"/>
      <c r="J32" s="11"/>
      <c r="K32" s="11"/>
      <c r="L32" s="7" t="str">
        <f>IF($E32="","",IF($E32="not included",H32,VLOOKUP($E32,'DID-list_Part A'!$A$8:$L$245,10,FALSE)))</f>
        <v/>
      </c>
      <c r="M32" s="7" t="str">
        <f>IF($E32="","",IF($E32="not included",I32,VLOOKUP($E32,'DID-list_Part A'!$A$8:$L$245,9,FALSE)))</f>
        <v/>
      </c>
      <c r="N32" s="7" t="str">
        <f>IF($E32="","",IF($E32="not included",J32,VLOOKUP($E32,'DID-list_Part A'!$A$8:$L$245,11,FALSE)))</f>
        <v/>
      </c>
      <c r="O32" s="7" t="str">
        <f>IF($E32="","",IF($E32="not included",K32,VLOOKUP($E32,'DID-list_Part A'!$A$8:$L$245,12,FALSE)))</f>
        <v/>
      </c>
      <c r="P32" s="11"/>
    </row>
    <row r="33" spans="1:16">
      <c r="A33" s="6">
        <v>25</v>
      </c>
      <c r="B33" s="7" t="str">
        <f>IF('Ingoing substances'!B33="","",'Ingoing substances'!B33)</f>
        <v/>
      </c>
      <c r="C33" s="7" t="str">
        <f>IF('Ingoing substances'!C33="","",'Ingoing substances'!C33)</f>
        <v/>
      </c>
      <c r="D33" s="7" t="str">
        <f>IF('Ingoing substances'!G33="","",'Ingoing substances'!G33)</f>
        <v/>
      </c>
      <c r="E33" s="12"/>
      <c r="F33" s="7" t="str">
        <f>IF(E33="","",VLOOKUP($E33,'DID-list_Part A'!$A$8:$L$245,3,FALSE))</f>
        <v/>
      </c>
      <c r="G33" s="7">
        <f>'Ingoing substances'!M33</f>
        <v>0</v>
      </c>
      <c r="H33" s="11"/>
      <c r="I33" s="11"/>
      <c r="J33" s="11"/>
      <c r="K33" s="11"/>
      <c r="L33" s="7" t="str">
        <f>IF($E33="","",IF($E33="not included",H33,VLOOKUP($E33,'DID-list_Part A'!$A$8:$L$245,10,FALSE)))</f>
        <v/>
      </c>
      <c r="M33" s="7" t="str">
        <f>IF($E33="","",IF($E33="not included",I33,VLOOKUP($E33,'DID-list_Part A'!$A$8:$L$245,9,FALSE)))</f>
        <v/>
      </c>
      <c r="N33" s="7" t="str">
        <f>IF($E33="","",IF($E33="not included",J33,VLOOKUP($E33,'DID-list_Part A'!$A$8:$L$245,11,FALSE)))</f>
        <v/>
      </c>
      <c r="O33" s="7" t="str">
        <f>IF($E33="","",IF($E33="not included",K33,VLOOKUP($E33,'DID-list_Part A'!$A$8:$L$245,12,FALSE)))</f>
        <v/>
      </c>
      <c r="P33" s="11"/>
    </row>
    <row r="34" spans="1:16">
      <c r="A34" s="6">
        <v>26</v>
      </c>
      <c r="B34" s="7" t="str">
        <f>IF('Ingoing substances'!B34="","",'Ingoing substances'!B34)</f>
        <v/>
      </c>
      <c r="C34" s="7" t="str">
        <f>IF('Ingoing substances'!C34="","",'Ingoing substances'!C34)</f>
        <v/>
      </c>
      <c r="D34" s="7" t="str">
        <f>IF('Ingoing substances'!G34="","",'Ingoing substances'!G34)</f>
        <v/>
      </c>
      <c r="E34" s="12"/>
      <c r="F34" s="7" t="str">
        <f>IF(E34="","",VLOOKUP($E34,'DID-list_Part A'!$A$8:$L$245,3,FALSE))</f>
        <v/>
      </c>
      <c r="G34" s="7">
        <f>'Ingoing substances'!M34</f>
        <v>0</v>
      </c>
      <c r="H34" s="11"/>
      <c r="I34" s="11"/>
      <c r="J34" s="11"/>
      <c r="K34" s="11"/>
      <c r="L34" s="7" t="str">
        <f>IF($E34="","",IF($E34="not included",H34,VLOOKUP($E34,'DID-list_Part A'!$A$8:$L$245,10,FALSE)))</f>
        <v/>
      </c>
      <c r="M34" s="7" t="str">
        <f>IF($E34="","",IF($E34="not included",I34,VLOOKUP($E34,'DID-list_Part A'!$A$8:$L$245,9,FALSE)))</f>
        <v/>
      </c>
      <c r="N34" s="7" t="str">
        <f>IF($E34="","",IF($E34="not included",J34,VLOOKUP($E34,'DID-list_Part A'!$A$8:$L$245,11,FALSE)))</f>
        <v/>
      </c>
      <c r="O34" s="7" t="str">
        <f>IF($E34="","",IF($E34="not included",K34,VLOOKUP($E34,'DID-list_Part A'!$A$8:$L$245,12,FALSE)))</f>
        <v/>
      </c>
      <c r="P34" s="11"/>
    </row>
    <row r="35" spans="1:16">
      <c r="A35" s="6">
        <v>27</v>
      </c>
      <c r="B35" s="7" t="str">
        <f>IF('Ingoing substances'!B35="","",'Ingoing substances'!B35)</f>
        <v/>
      </c>
      <c r="C35" s="7" t="str">
        <f>IF('Ingoing substances'!C35="","",'Ingoing substances'!C35)</f>
        <v/>
      </c>
      <c r="D35" s="7" t="str">
        <f>IF('Ingoing substances'!G35="","",'Ingoing substances'!G35)</f>
        <v/>
      </c>
      <c r="E35" s="12"/>
      <c r="F35" s="7" t="str">
        <f>IF(E35="","",VLOOKUP($E35,'DID-list_Part A'!$A$8:$L$245,3,FALSE))</f>
        <v/>
      </c>
      <c r="G35" s="7">
        <f>'Ingoing substances'!M35</f>
        <v>0</v>
      </c>
      <c r="H35" s="11"/>
      <c r="I35" s="11"/>
      <c r="J35" s="11"/>
      <c r="K35" s="11"/>
      <c r="L35" s="7" t="str">
        <f>IF($E35="","",IF($E35="not included",H35,VLOOKUP($E35,'DID-list_Part A'!$A$8:$L$245,10,FALSE)))</f>
        <v/>
      </c>
      <c r="M35" s="7" t="str">
        <f>IF($E35="","",IF($E35="not included",I35,VLOOKUP($E35,'DID-list_Part A'!$A$8:$L$245,9,FALSE)))</f>
        <v/>
      </c>
      <c r="N35" s="7" t="str">
        <f>IF($E35="","",IF($E35="not included",J35,VLOOKUP($E35,'DID-list_Part A'!$A$8:$L$245,11,FALSE)))</f>
        <v/>
      </c>
      <c r="O35" s="7" t="str">
        <f>IF($E35="","",IF($E35="not included",K35,VLOOKUP($E35,'DID-list_Part A'!$A$8:$L$245,12,FALSE)))</f>
        <v/>
      </c>
      <c r="P35" s="11"/>
    </row>
    <row r="36" spans="1:16">
      <c r="A36" s="6">
        <v>28</v>
      </c>
      <c r="B36" s="7" t="str">
        <f>IF('Ingoing substances'!B36="","",'Ingoing substances'!B36)</f>
        <v/>
      </c>
      <c r="C36" s="7" t="str">
        <f>IF('Ingoing substances'!C36="","",'Ingoing substances'!C36)</f>
        <v/>
      </c>
      <c r="D36" s="7" t="str">
        <f>IF('Ingoing substances'!G36="","",'Ingoing substances'!G36)</f>
        <v/>
      </c>
      <c r="E36" s="12"/>
      <c r="F36" s="7" t="str">
        <f>IF(E36="","",VLOOKUP($E36,'DID-list_Part A'!$A$8:$L$245,3,FALSE))</f>
        <v/>
      </c>
      <c r="G36" s="7">
        <f>'Ingoing substances'!M36</f>
        <v>0</v>
      </c>
      <c r="H36" s="11"/>
      <c r="I36" s="11"/>
      <c r="J36" s="11"/>
      <c r="K36" s="11"/>
      <c r="L36" s="7" t="str">
        <f>IF($E36="","",IF($E36="not included",H36,VLOOKUP($E36,'DID-list_Part A'!$A$8:$L$245,10,FALSE)))</f>
        <v/>
      </c>
      <c r="M36" s="7" t="str">
        <f>IF($E36="","",IF($E36="not included",I36,VLOOKUP($E36,'DID-list_Part A'!$A$8:$L$245,9,FALSE)))</f>
        <v/>
      </c>
      <c r="N36" s="7" t="str">
        <f>IF($E36="","",IF($E36="not included",J36,VLOOKUP($E36,'DID-list_Part A'!$A$8:$L$245,11,FALSE)))</f>
        <v/>
      </c>
      <c r="O36" s="7" t="str">
        <f>IF($E36="","",IF($E36="not included",K36,VLOOKUP($E36,'DID-list_Part A'!$A$8:$L$245,12,FALSE)))</f>
        <v/>
      </c>
      <c r="P36" s="11"/>
    </row>
    <row r="37" spans="1:16">
      <c r="A37" s="6">
        <v>29</v>
      </c>
      <c r="B37" s="7" t="str">
        <f>IF('Ingoing substances'!B37="","",'Ingoing substances'!B37)</f>
        <v/>
      </c>
      <c r="C37" s="7" t="str">
        <f>IF('Ingoing substances'!C37="","",'Ingoing substances'!C37)</f>
        <v/>
      </c>
      <c r="D37" s="7" t="str">
        <f>IF('Ingoing substances'!G37="","",'Ingoing substances'!G37)</f>
        <v/>
      </c>
      <c r="E37" s="12"/>
      <c r="F37" s="7" t="str">
        <f>IF(E37="","",VLOOKUP($E37,'DID-list_Part A'!$A$8:$L$245,3,FALSE))</f>
        <v/>
      </c>
      <c r="G37" s="7">
        <f>'Ingoing substances'!M37</f>
        <v>0</v>
      </c>
      <c r="H37" s="11"/>
      <c r="I37" s="11"/>
      <c r="J37" s="11"/>
      <c r="K37" s="11"/>
      <c r="L37" s="7" t="str">
        <f>IF($E37="","",IF($E37="not included",H37,VLOOKUP($E37,'DID-list_Part A'!$A$8:$L$245,10,FALSE)))</f>
        <v/>
      </c>
      <c r="M37" s="7" t="str">
        <f>IF($E37="","",IF($E37="not included",I37,VLOOKUP($E37,'DID-list_Part A'!$A$8:$L$245,9,FALSE)))</f>
        <v/>
      </c>
      <c r="N37" s="7" t="str">
        <f>IF($E37="","",IF($E37="not included",J37,VLOOKUP($E37,'DID-list_Part A'!$A$8:$L$245,11,FALSE)))</f>
        <v/>
      </c>
      <c r="O37" s="7" t="str">
        <f>IF($E37="","",IF($E37="not included",K37,VLOOKUP($E37,'DID-list_Part A'!$A$8:$L$245,12,FALSE)))</f>
        <v/>
      </c>
      <c r="P37" s="11"/>
    </row>
    <row r="38" spans="1:16">
      <c r="A38" s="6">
        <v>30</v>
      </c>
      <c r="B38" s="7" t="str">
        <f>IF('Ingoing substances'!B38="","",'Ingoing substances'!B38)</f>
        <v/>
      </c>
      <c r="C38" s="7" t="str">
        <f>IF('Ingoing substances'!C38="","",'Ingoing substances'!C38)</f>
        <v/>
      </c>
      <c r="D38" s="7" t="str">
        <f>IF('Ingoing substances'!G38="","",'Ingoing substances'!G38)</f>
        <v/>
      </c>
      <c r="E38" s="12"/>
      <c r="F38" s="7" t="str">
        <f>IF(E38="","",VLOOKUP($E38,'DID-list_Part A'!$A$8:$L$245,3,FALSE))</f>
        <v/>
      </c>
      <c r="G38" s="7">
        <f>'Ingoing substances'!M38</f>
        <v>0</v>
      </c>
      <c r="H38" s="11"/>
      <c r="I38" s="11"/>
      <c r="J38" s="11"/>
      <c r="K38" s="11"/>
      <c r="L38" s="7" t="str">
        <f>IF($E38="","",IF($E38="not included",H38,VLOOKUP($E38,'DID-list_Part A'!$A$8:$L$245,10,FALSE)))</f>
        <v/>
      </c>
      <c r="M38" s="7" t="str">
        <f>IF($E38="","",IF($E38="not included",I38,VLOOKUP($E38,'DID-list_Part A'!$A$8:$L$245,9,FALSE)))</f>
        <v/>
      </c>
      <c r="N38" s="7" t="str">
        <f>IF($E38="","",IF($E38="not included",J38,VLOOKUP($E38,'DID-list_Part A'!$A$8:$L$245,11,FALSE)))</f>
        <v/>
      </c>
      <c r="O38" s="7" t="str">
        <f>IF($E38="","",IF($E38="not included",K38,VLOOKUP($E38,'DID-list_Part A'!$A$8:$L$245,12,FALSE)))</f>
        <v/>
      </c>
      <c r="P38" s="11"/>
    </row>
    <row r="39" spans="1:16">
      <c r="A39" s="6">
        <v>31</v>
      </c>
      <c r="B39" s="7" t="str">
        <f>IF('Ingoing substances'!B39="","",'Ingoing substances'!B39)</f>
        <v/>
      </c>
      <c r="C39" s="7" t="str">
        <f>IF('Ingoing substances'!C39="","",'Ingoing substances'!C39)</f>
        <v/>
      </c>
      <c r="D39" s="7" t="str">
        <f>IF('Ingoing substances'!G39="","",'Ingoing substances'!G39)</f>
        <v/>
      </c>
      <c r="E39" s="12"/>
      <c r="F39" s="7" t="str">
        <f>IF(E39="","",VLOOKUP($E39,'DID-list_Part A'!$A$8:$L$245,3,FALSE))</f>
        <v/>
      </c>
      <c r="G39" s="7">
        <f>'Ingoing substances'!M39</f>
        <v>0</v>
      </c>
      <c r="H39" s="11"/>
      <c r="I39" s="11"/>
      <c r="J39" s="11"/>
      <c r="K39" s="11"/>
      <c r="L39" s="7" t="str">
        <f>IF($E39="","",IF($E39="not included",H39,VLOOKUP($E39,'DID-list_Part A'!$A$8:$L$245,10,FALSE)))</f>
        <v/>
      </c>
      <c r="M39" s="7" t="str">
        <f>IF($E39="","",IF($E39="not included",I39,VLOOKUP($E39,'DID-list_Part A'!$A$8:$L$245,9,FALSE)))</f>
        <v/>
      </c>
      <c r="N39" s="7" t="str">
        <f>IF($E39="","",IF($E39="not included",J39,VLOOKUP($E39,'DID-list_Part A'!$A$8:$L$245,11,FALSE)))</f>
        <v/>
      </c>
      <c r="O39" s="7" t="str">
        <f>IF($E39="","",IF($E39="not included",K39,VLOOKUP($E39,'DID-list_Part A'!$A$8:$L$245,12,FALSE)))</f>
        <v/>
      </c>
      <c r="P39" s="11"/>
    </row>
    <row r="40" spans="1:16">
      <c r="A40" s="6">
        <v>32</v>
      </c>
      <c r="B40" s="7" t="str">
        <f>IF('Ingoing substances'!B40="","",'Ingoing substances'!B40)</f>
        <v/>
      </c>
      <c r="C40" s="7" t="str">
        <f>IF('Ingoing substances'!C40="","",'Ingoing substances'!C40)</f>
        <v/>
      </c>
      <c r="D40" s="7" t="str">
        <f>IF('Ingoing substances'!G40="","",'Ingoing substances'!G40)</f>
        <v/>
      </c>
      <c r="E40" s="12"/>
      <c r="F40" s="7" t="str">
        <f>IF(E40="","",VLOOKUP($E40,'DID-list_Part A'!$A$8:$L$245,3,FALSE))</f>
        <v/>
      </c>
      <c r="G40" s="7">
        <f>'Ingoing substances'!M40</f>
        <v>0</v>
      </c>
      <c r="H40" s="11"/>
      <c r="I40" s="11"/>
      <c r="J40" s="11"/>
      <c r="K40" s="11"/>
      <c r="L40" s="7" t="str">
        <f>IF($E40="","",IF($E40="not included",H40,VLOOKUP($E40,'DID-list_Part A'!$A$8:$L$245,10,FALSE)))</f>
        <v/>
      </c>
      <c r="M40" s="7" t="str">
        <f>IF($E40="","",IF($E40="not included",I40,VLOOKUP($E40,'DID-list_Part A'!$A$8:$L$245,9,FALSE)))</f>
        <v/>
      </c>
      <c r="N40" s="7" t="str">
        <f>IF($E40="","",IF($E40="not included",J40,VLOOKUP($E40,'DID-list_Part A'!$A$8:$L$245,11,FALSE)))</f>
        <v/>
      </c>
      <c r="O40" s="7" t="str">
        <f>IF($E40="","",IF($E40="not included",K40,VLOOKUP($E40,'DID-list_Part A'!$A$8:$L$245,12,FALSE)))</f>
        <v/>
      </c>
      <c r="P40" s="11"/>
    </row>
    <row r="41" spans="1:16">
      <c r="A41" s="6">
        <v>33</v>
      </c>
      <c r="B41" s="7" t="str">
        <f>IF('Ingoing substances'!B41="","",'Ingoing substances'!B41)</f>
        <v/>
      </c>
      <c r="C41" s="7" t="str">
        <f>IF('Ingoing substances'!C41="","",'Ingoing substances'!C41)</f>
        <v/>
      </c>
      <c r="D41" s="7" t="str">
        <f>IF('Ingoing substances'!G41="","",'Ingoing substances'!G41)</f>
        <v/>
      </c>
      <c r="E41" s="12"/>
      <c r="F41" s="7" t="str">
        <f>IF(E41="","",VLOOKUP($E41,'DID-list_Part A'!$A$8:$L$245,3,FALSE))</f>
        <v/>
      </c>
      <c r="G41" s="7">
        <f>'Ingoing substances'!M41</f>
        <v>0</v>
      </c>
      <c r="H41" s="11"/>
      <c r="I41" s="11"/>
      <c r="J41" s="11"/>
      <c r="K41" s="11"/>
      <c r="L41" s="7" t="str">
        <f>IF($E41="","",IF($E41="not included",H41,VLOOKUP($E41,'DID-list_Part A'!$A$8:$L$245,10,FALSE)))</f>
        <v/>
      </c>
      <c r="M41" s="7" t="str">
        <f>IF($E41="","",IF($E41="not included",I41,VLOOKUP($E41,'DID-list_Part A'!$A$8:$L$245,9,FALSE)))</f>
        <v/>
      </c>
      <c r="N41" s="7" t="str">
        <f>IF($E41="","",IF($E41="not included",J41,VLOOKUP($E41,'DID-list_Part A'!$A$8:$L$245,11,FALSE)))</f>
        <v/>
      </c>
      <c r="O41" s="7" t="str">
        <f>IF($E41="","",IF($E41="not included",K41,VLOOKUP($E41,'DID-list_Part A'!$A$8:$L$245,12,FALSE)))</f>
        <v/>
      </c>
      <c r="P41" s="11"/>
    </row>
    <row r="42" spans="1:16">
      <c r="A42" s="6">
        <v>34</v>
      </c>
      <c r="B42" s="7" t="str">
        <f>IF('Ingoing substances'!B42="","",'Ingoing substances'!B42)</f>
        <v/>
      </c>
      <c r="C42" s="7" t="str">
        <f>IF('Ingoing substances'!C42="","",'Ingoing substances'!C42)</f>
        <v/>
      </c>
      <c r="D42" s="7" t="str">
        <f>IF('Ingoing substances'!G42="","",'Ingoing substances'!G42)</f>
        <v/>
      </c>
      <c r="E42" s="12"/>
      <c r="F42" s="7" t="str">
        <f>IF(E42="","",VLOOKUP($E42,'DID-list_Part A'!$A$8:$L$245,3,FALSE))</f>
        <v/>
      </c>
      <c r="G42" s="7">
        <f>'Ingoing substances'!M42</f>
        <v>0</v>
      </c>
      <c r="H42" s="11"/>
      <c r="I42" s="11"/>
      <c r="J42" s="11"/>
      <c r="K42" s="11"/>
      <c r="L42" s="7" t="str">
        <f>IF($E42="","",IF($E42="not included",H42,VLOOKUP($E42,'DID-list_Part A'!$A$8:$L$245,10,FALSE)))</f>
        <v/>
      </c>
      <c r="M42" s="7" t="str">
        <f>IF($E42="","",IF($E42="not included",I42,VLOOKUP($E42,'DID-list_Part A'!$A$8:$L$245,9,FALSE)))</f>
        <v/>
      </c>
      <c r="N42" s="7" t="str">
        <f>IF($E42="","",IF($E42="not included",J42,VLOOKUP($E42,'DID-list_Part A'!$A$8:$L$245,11,FALSE)))</f>
        <v/>
      </c>
      <c r="O42" s="7" t="str">
        <f>IF($E42="","",IF($E42="not included",K42,VLOOKUP($E42,'DID-list_Part A'!$A$8:$L$245,12,FALSE)))</f>
        <v/>
      </c>
      <c r="P42" s="11"/>
    </row>
    <row r="43" spans="1:16">
      <c r="A43" s="6">
        <v>35</v>
      </c>
      <c r="B43" s="7" t="str">
        <f>IF('Ingoing substances'!B43="","",'Ingoing substances'!B43)</f>
        <v/>
      </c>
      <c r="C43" s="7" t="str">
        <f>IF('Ingoing substances'!C43="","",'Ingoing substances'!C43)</f>
        <v/>
      </c>
      <c r="D43" s="7" t="str">
        <f>IF('Ingoing substances'!G43="","",'Ingoing substances'!G43)</f>
        <v/>
      </c>
      <c r="E43" s="12"/>
      <c r="F43" s="7" t="str">
        <f>IF(E43="","",VLOOKUP($E43,'DID-list_Part A'!$A$8:$L$245,3,FALSE))</f>
        <v/>
      </c>
      <c r="G43" s="7">
        <f>'Ingoing substances'!M43</f>
        <v>0</v>
      </c>
      <c r="H43" s="11"/>
      <c r="I43" s="11"/>
      <c r="J43" s="11"/>
      <c r="K43" s="11"/>
      <c r="L43" s="7" t="str">
        <f>IF($E43="","",IF($E43="not included",H43,VLOOKUP($E43,'DID-list_Part A'!$A$8:$L$245,10,FALSE)))</f>
        <v/>
      </c>
      <c r="M43" s="7" t="str">
        <f>IF($E43="","",IF($E43="not included",I43,VLOOKUP($E43,'DID-list_Part A'!$A$8:$L$245,9,FALSE)))</f>
        <v/>
      </c>
      <c r="N43" s="7" t="str">
        <f>IF($E43="","",IF($E43="not included",J43,VLOOKUP($E43,'DID-list_Part A'!$A$8:$L$245,11,FALSE)))</f>
        <v/>
      </c>
      <c r="O43" s="7" t="str">
        <f>IF($E43="","",IF($E43="not included",K43,VLOOKUP($E43,'DID-list_Part A'!$A$8:$L$245,12,FALSE)))</f>
        <v/>
      </c>
      <c r="P43" s="11"/>
    </row>
    <row r="44" spans="1:16">
      <c r="A44" s="6">
        <v>36</v>
      </c>
      <c r="B44" s="7" t="str">
        <f>IF('Ingoing substances'!B44="","",'Ingoing substances'!B44)</f>
        <v/>
      </c>
      <c r="C44" s="7" t="str">
        <f>IF('Ingoing substances'!C44="","",'Ingoing substances'!C44)</f>
        <v/>
      </c>
      <c r="D44" s="7" t="str">
        <f>IF('Ingoing substances'!G44="","",'Ingoing substances'!G44)</f>
        <v/>
      </c>
      <c r="E44" s="12"/>
      <c r="F44" s="7" t="str">
        <f>IF(E44="","",VLOOKUP($E44,'DID-list_Part A'!$A$8:$L$245,3,FALSE))</f>
        <v/>
      </c>
      <c r="G44" s="7">
        <f>'Ingoing substances'!M44</f>
        <v>0</v>
      </c>
      <c r="H44" s="11"/>
      <c r="I44" s="11"/>
      <c r="J44" s="11"/>
      <c r="K44" s="11"/>
      <c r="L44" s="7" t="str">
        <f>IF($E44="","",IF($E44="not included",H44,VLOOKUP($E44,'DID-list_Part A'!$A$8:$L$245,10,FALSE)))</f>
        <v/>
      </c>
      <c r="M44" s="7" t="str">
        <f>IF($E44="","",IF($E44="not included",I44,VLOOKUP($E44,'DID-list_Part A'!$A$8:$L$245,9,FALSE)))</f>
        <v/>
      </c>
      <c r="N44" s="7" t="str">
        <f>IF($E44="","",IF($E44="not included",J44,VLOOKUP($E44,'DID-list_Part A'!$A$8:$L$245,11,FALSE)))</f>
        <v/>
      </c>
      <c r="O44" s="7" t="str">
        <f>IF($E44="","",IF($E44="not included",K44,VLOOKUP($E44,'DID-list_Part A'!$A$8:$L$245,12,FALSE)))</f>
        <v/>
      </c>
      <c r="P44" s="11"/>
    </row>
    <row r="45" spans="1:16">
      <c r="A45" s="6">
        <v>37</v>
      </c>
      <c r="B45" s="7" t="str">
        <f>IF('Ingoing substances'!B45="","",'Ingoing substances'!B45)</f>
        <v/>
      </c>
      <c r="C45" s="7" t="str">
        <f>IF('Ingoing substances'!C45="","",'Ingoing substances'!C45)</f>
        <v/>
      </c>
      <c r="D45" s="7" t="str">
        <f>IF('Ingoing substances'!G45="","",'Ingoing substances'!G45)</f>
        <v/>
      </c>
      <c r="E45" s="12"/>
      <c r="F45" s="7" t="str">
        <f>IF(E45="","",VLOOKUP($E45,'DID-list_Part A'!$A$8:$L$245,3,FALSE))</f>
        <v/>
      </c>
      <c r="G45" s="7">
        <f>'Ingoing substances'!M45</f>
        <v>0</v>
      </c>
      <c r="H45" s="11"/>
      <c r="I45" s="11"/>
      <c r="J45" s="11"/>
      <c r="K45" s="11"/>
      <c r="L45" s="7" t="str">
        <f>IF($E45="","",IF($E45="not included",H45,VLOOKUP($E45,'DID-list_Part A'!$A$8:$L$245,10,FALSE)))</f>
        <v/>
      </c>
      <c r="M45" s="7" t="str">
        <f>IF($E45="","",IF($E45="not included",I45,VLOOKUP($E45,'DID-list_Part A'!$A$8:$L$245,9,FALSE)))</f>
        <v/>
      </c>
      <c r="N45" s="7" t="str">
        <f>IF($E45="","",IF($E45="not included",J45,VLOOKUP($E45,'DID-list_Part A'!$A$8:$L$245,11,FALSE)))</f>
        <v/>
      </c>
      <c r="O45" s="7" t="str">
        <f>IF($E45="","",IF($E45="not included",K45,VLOOKUP($E45,'DID-list_Part A'!$A$8:$L$245,12,FALSE)))</f>
        <v/>
      </c>
      <c r="P45" s="11"/>
    </row>
    <row r="46" spans="1:16">
      <c r="A46" s="6">
        <v>38</v>
      </c>
      <c r="B46" s="7" t="str">
        <f>IF('Ingoing substances'!B46="","",'Ingoing substances'!B46)</f>
        <v/>
      </c>
      <c r="C46" s="7" t="str">
        <f>IF('Ingoing substances'!C46="","",'Ingoing substances'!C46)</f>
        <v/>
      </c>
      <c r="D46" s="7" t="str">
        <f>IF('Ingoing substances'!G46="","",'Ingoing substances'!G46)</f>
        <v/>
      </c>
      <c r="E46" s="12"/>
      <c r="F46" s="7" t="str">
        <f>IF(E46="","",VLOOKUP($E46,'DID-list_Part A'!$A$8:$L$245,3,FALSE))</f>
        <v/>
      </c>
      <c r="G46" s="7">
        <f>'Ingoing substances'!M46</f>
        <v>0</v>
      </c>
      <c r="H46" s="11"/>
      <c r="I46" s="11"/>
      <c r="J46" s="11"/>
      <c r="K46" s="11"/>
      <c r="L46" s="7" t="str">
        <f>IF($E46="","",IF($E46="not included",H46,VLOOKUP($E46,'DID-list_Part A'!$A$8:$L$245,10,FALSE)))</f>
        <v/>
      </c>
      <c r="M46" s="7" t="str">
        <f>IF($E46="","",IF($E46="not included",I46,VLOOKUP($E46,'DID-list_Part A'!$A$8:$L$245,9,FALSE)))</f>
        <v/>
      </c>
      <c r="N46" s="7" t="str">
        <f>IF($E46="","",IF($E46="not included",J46,VLOOKUP($E46,'DID-list_Part A'!$A$8:$L$245,11,FALSE)))</f>
        <v/>
      </c>
      <c r="O46" s="7" t="str">
        <f>IF($E46="","",IF($E46="not included",K46,VLOOKUP($E46,'DID-list_Part A'!$A$8:$L$245,12,FALSE)))</f>
        <v/>
      </c>
      <c r="P46" s="11"/>
    </row>
    <row r="47" spans="1:16">
      <c r="A47" s="6">
        <v>39</v>
      </c>
      <c r="B47" s="7" t="str">
        <f>IF('Ingoing substances'!B47="","",'Ingoing substances'!B47)</f>
        <v/>
      </c>
      <c r="C47" s="7" t="str">
        <f>IF('Ingoing substances'!C47="","",'Ingoing substances'!C47)</f>
        <v/>
      </c>
      <c r="D47" s="7" t="str">
        <f>IF('Ingoing substances'!G47="","",'Ingoing substances'!G47)</f>
        <v/>
      </c>
      <c r="E47" s="12"/>
      <c r="F47" s="7" t="str">
        <f>IF(E47="","",VLOOKUP($E47,'DID-list_Part A'!$A$8:$L$245,3,FALSE))</f>
        <v/>
      </c>
      <c r="G47" s="7">
        <f>'Ingoing substances'!M47</f>
        <v>0</v>
      </c>
      <c r="H47" s="11"/>
      <c r="I47" s="11"/>
      <c r="J47" s="11"/>
      <c r="K47" s="11"/>
      <c r="L47" s="7" t="str">
        <f>IF($E47="","",IF($E47="not included",H47,VLOOKUP($E47,'DID-list_Part A'!$A$8:$L$245,10,FALSE)))</f>
        <v/>
      </c>
      <c r="M47" s="7" t="str">
        <f>IF($E47="","",IF($E47="not included",I47,VLOOKUP($E47,'DID-list_Part A'!$A$8:$L$245,9,FALSE)))</f>
        <v/>
      </c>
      <c r="N47" s="7" t="str">
        <f>IF($E47="","",IF($E47="not included",J47,VLOOKUP($E47,'DID-list_Part A'!$A$8:$L$245,11,FALSE)))</f>
        <v/>
      </c>
      <c r="O47" s="7" t="str">
        <f>IF($E47="","",IF($E47="not included",K47,VLOOKUP($E47,'DID-list_Part A'!$A$8:$L$245,12,FALSE)))</f>
        <v/>
      </c>
      <c r="P47" s="11"/>
    </row>
    <row r="48" spans="1:16">
      <c r="A48" s="6">
        <v>40</v>
      </c>
      <c r="B48" s="7" t="str">
        <f>IF('Ingoing substances'!B48="","",'Ingoing substances'!B48)</f>
        <v/>
      </c>
      <c r="C48" s="7" t="str">
        <f>IF('Ingoing substances'!C48="","",'Ingoing substances'!C48)</f>
        <v/>
      </c>
      <c r="D48" s="7" t="str">
        <f>IF('Ingoing substances'!G48="","",'Ingoing substances'!G48)</f>
        <v/>
      </c>
      <c r="E48" s="12"/>
      <c r="F48" s="7" t="str">
        <f>IF(E48="","",VLOOKUP($E48,'DID-list_Part A'!$A$8:$L$245,3,FALSE))</f>
        <v/>
      </c>
      <c r="G48" s="7">
        <f>'Ingoing substances'!M48</f>
        <v>0</v>
      </c>
      <c r="H48" s="11"/>
      <c r="I48" s="11"/>
      <c r="J48" s="11"/>
      <c r="K48" s="11"/>
      <c r="L48" s="7" t="str">
        <f>IF($E48="","",IF($E48="not included",H48,VLOOKUP($E48,'DID-list_Part A'!$A$8:$L$245,10,FALSE)))</f>
        <v/>
      </c>
      <c r="M48" s="7" t="str">
        <f>IF($E48="","",IF($E48="not included",I48,VLOOKUP($E48,'DID-list_Part A'!$A$8:$L$245,9,FALSE)))</f>
        <v/>
      </c>
      <c r="N48" s="7" t="str">
        <f>IF($E48="","",IF($E48="not included",J48,VLOOKUP($E48,'DID-list_Part A'!$A$8:$L$245,11,FALSE)))</f>
        <v/>
      </c>
      <c r="O48" s="7" t="str">
        <f>IF($E48="","",IF($E48="not included",K48,VLOOKUP($E48,'DID-list_Part A'!$A$8:$L$245,12,FALSE)))</f>
        <v/>
      </c>
      <c r="P48" s="11"/>
    </row>
    <row r="49" spans="1:16">
      <c r="A49" s="6">
        <v>41</v>
      </c>
      <c r="B49" s="7" t="str">
        <f>IF('Ingoing substances'!B49="","",'Ingoing substances'!B49)</f>
        <v/>
      </c>
      <c r="C49" s="7" t="str">
        <f>IF('Ingoing substances'!C49="","",'Ingoing substances'!C49)</f>
        <v/>
      </c>
      <c r="D49" s="7" t="str">
        <f>IF('Ingoing substances'!G49="","",'Ingoing substances'!G49)</f>
        <v/>
      </c>
      <c r="E49" s="12"/>
      <c r="F49" s="7" t="str">
        <f>IF(E49="","",VLOOKUP($E49,'DID-list_Part A'!$A$8:$L$245,3,FALSE))</f>
        <v/>
      </c>
      <c r="G49" s="7">
        <f>'Ingoing substances'!M49</f>
        <v>0</v>
      </c>
      <c r="H49" s="11"/>
      <c r="I49" s="11"/>
      <c r="J49" s="11"/>
      <c r="K49" s="11"/>
      <c r="L49" s="7" t="str">
        <f>IF($E49="","",IF($E49="not included",H49,VLOOKUP($E49,'DID-list_Part A'!$A$8:$L$245,10,FALSE)))</f>
        <v/>
      </c>
      <c r="M49" s="7" t="str">
        <f>IF($E49="","",IF($E49="not included",I49,VLOOKUP($E49,'DID-list_Part A'!$A$8:$L$245,9,FALSE)))</f>
        <v/>
      </c>
      <c r="N49" s="7" t="str">
        <f>IF($E49="","",IF($E49="not included",J49,VLOOKUP($E49,'DID-list_Part A'!$A$8:$L$245,11,FALSE)))</f>
        <v/>
      </c>
      <c r="O49" s="7" t="str">
        <f>IF($E49="","",IF($E49="not included",K49,VLOOKUP($E49,'DID-list_Part A'!$A$8:$L$245,12,FALSE)))</f>
        <v/>
      </c>
      <c r="P49" s="11"/>
    </row>
    <row r="50" spans="1:16">
      <c r="A50" s="6">
        <v>42</v>
      </c>
      <c r="B50" s="7" t="str">
        <f>IF('Ingoing substances'!B50="","",'Ingoing substances'!B50)</f>
        <v/>
      </c>
      <c r="C50" s="7" t="str">
        <f>IF('Ingoing substances'!C50="","",'Ingoing substances'!C50)</f>
        <v/>
      </c>
      <c r="D50" s="7" t="str">
        <f>IF('Ingoing substances'!G50="","",'Ingoing substances'!G50)</f>
        <v/>
      </c>
      <c r="E50" s="12"/>
      <c r="F50" s="7" t="str">
        <f>IF(E50="","",VLOOKUP($E50,'DID-list_Part A'!$A$8:$L$245,3,FALSE))</f>
        <v/>
      </c>
      <c r="G50" s="7">
        <f>'Ingoing substances'!M50</f>
        <v>0</v>
      </c>
      <c r="H50" s="11"/>
      <c r="I50" s="11"/>
      <c r="J50" s="11"/>
      <c r="K50" s="11"/>
      <c r="L50" s="7" t="str">
        <f>IF($E50="","",IF($E50="not included",H50,VLOOKUP($E50,'DID-list_Part A'!$A$8:$L$245,10,FALSE)))</f>
        <v/>
      </c>
      <c r="M50" s="7" t="str">
        <f>IF($E50="","",IF($E50="not included",I50,VLOOKUP($E50,'DID-list_Part A'!$A$8:$L$245,9,FALSE)))</f>
        <v/>
      </c>
      <c r="N50" s="7" t="str">
        <f>IF($E50="","",IF($E50="not included",J50,VLOOKUP($E50,'DID-list_Part A'!$A$8:$L$245,11,FALSE)))</f>
        <v/>
      </c>
      <c r="O50" s="7" t="str">
        <f>IF($E50="","",IF($E50="not included",K50,VLOOKUP($E50,'DID-list_Part A'!$A$8:$L$245,12,FALSE)))</f>
        <v/>
      </c>
      <c r="P50" s="11"/>
    </row>
    <row r="51" spans="1:16">
      <c r="A51" s="6">
        <v>43</v>
      </c>
      <c r="B51" s="7" t="str">
        <f>IF('Ingoing substances'!B51="","",'Ingoing substances'!B51)</f>
        <v/>
      </c>
      <c r="C51" s="7" t="str">
        <f>IF('Ingoing substances'!C51="","",'Ingoing substances'!C51)</f>
        <v/>
      </c>
      <c r="D51" s="7" t="str">
        <f>IF('Ingoing substances'!G51="","",'Ingoing substances'!G51)</f>
        <v/>
      </c>
      <c r="E51" s="12"/>
      <c r="F51" s="7" t="str">
        <f>IF(E51="","",VLOOKUP($E51,'DID-list_Part A'!$A$8:$L$245,3,FALSE))</f>
        <v/>
      </c>
      <c r="G51" s="7">
        <f>'Ingoing substances'!M51</f>
        <v>0</v>
      </c>
      <c r="H51" s="11"/>
      <c r="I51" s="11"/>
      <c r="J51" s="11"/>
      <c r="K51" s="11"/>
      <c r="L51" s="7" t="str">
        <f>IF($E51="","",IF($E51="not included",H51,VLOOKUP($E51,'DID-list_Part A'!$A$8:$L$245,10,FALSE)))</f>
        <v/>
      </c>
      <c r="M51" s="7" t="str">
        <f>IF($E51="","",IF($E51="not included",I51,VLOOKUP($E51,'DID-list_Part A'!$A$8:$L$245,9,FALSE)))</f>
        <v/>
      </c>
      <c r="N51" s="7" t="str">
        <f>IF($E51="","",IF($E51="not included",J51,VLOOKUP($E51,'DID-list_Part A'!$A$8:$L$245,11,FALSE)))</f>
        <v/>
      </c>
      <c r="O51" s="7" t="str">
        <f>IF($E51="","",IF($E51="not included",K51,VLOOKUP($E51,'DID-list_Part A'!$A$8:$L$245,12,FALSE)))</f>
        <v/>
      </c>
      <c r="P51" s="11"/>
    </row>
    <row r="52" spans="1:16">
      <c r="A52" s="6">
        <v>44</v>
      </c>
      <c r="B52" s="7" t="str">
        <f>IF('Ingoing substances'!B52="","",'Ingoing substances'!B52)</f>
        <v/>
      </c>
      <c r="C52" s="7" t="str">
        <f>IF('Ingoing substances'!C52="","",'Ingoing substances'!C52)</f>
        <v/>
      </c>
      <c r="D52" s="7" t="str">
        <f>IF('Ingoing substances'!G52="","",'Ingoing substances'!G52)</f>
        <v/>
      </c>
      <c r="E52" s="12"/>
      <c r="F52" s="7" t="str">
        <f>IF(E52="","",VLOOKUP($E52,'DID-list_Part A'!$A$8:$L$245,3,FALSE))</f>
        <v/>
      </c>
      <c r="G52" s="7">
        <f>'Ingoing substances'!M52</f>
        <v>0</v>
      </c>
      <c r="H52" s="11"/>
      <c r="I52" s="11"/>
      <c r="J52" s="11"/>
      <c r="K52" s="11"/>
      <c r="L52" s="7" t="str">
        <f>IF($E52="","",IF($E52="not included",H52,VLOOKUP($E52,'DID-list_Part A'!$A$8:$L$245,10,FALSE)))</f>
        <v/>
      </c>
      <c r="M52" s="7" t="str">
        <f>IF($E52="","",IF($E52="not included",I52,VLOOKUP($E52,'DID-list_Part A'!$A$8:$L$245,9,FALSE)))</f>
        <v/>
      </c>
      <c r="N52" s="7" t="str">
        <f>IF($E52="","",IF($E52="not included",J52,VLOOKUP($E52,'DID-list_Part A'!$A$8:$L$245,11,FALSE)))</f>
        <v/>
      </c>
      <c r="O52" s="7" t="str">
        <f>IF($E52="","",IF($E52="not included",K52,VLOOKUP($E52,'DID-list_Part A'!$A$8:$L$245,12,FALSE)))</f>
        <v/>
      </c>
      <c r="P52" s="11"/>
    </row>
    <row r="53" spans="1:16">
      <c r="A53" s="6">
        <v>45</v>
      </c>
      <c r="B53" s="7" t="str">
        <f>IF('Ingoing substances'!B53="","",'Ingoing substances'!B53)</f>
        <v/>
      </c>
      <c r="C53" s="7" t="str">
        <f>IF('Ingoing substances'!C53="","",'Ingoing substances'!C53)</f>
        <v/>
      </c>
      <c r="D53" s="7" t="str">
        <f>IF('Ingoing substances'!G53="","",'Ingoing substances'!G53)</f>
        <v/>
      </c>
      <c r="E53" s="12"/>
      <c r="F53" s="7" t="str">
        <f>IF(E53="","",VLOOKUP($E53,'DID-list_Part A'!$A$8:$L$245,3,FALSE))</f>
        <v/>
      </c>
      <c r="G53" s="7">
        <f>'Ingoing substances'!M53</f>
        <v>0</v>
      </c>
      <c r="H53" s="11"/>
      <c r="I53" s="11"/>
      <c r="J53" s="11"/>
      <c r="K53" s="11"/>
      <c r="L53" s="7" t="str">
        <f>IF($E53="","",IF($E53="not included",H53,VLOOKUP($E53,'DID-list_Part A'!$A$8:$L$245,10,FALSE)))</f>
        <v/>
      </c>
      <c r="M53" s="7" t="str">
        <f>IF($E53="","",IF($E53="not included",I53,VLOOKUP($E53,'DID-list_Part A'!$A$8:$L$245,9,FALSE)))</f>
        <v/>
      </c>
      <c r="N53" s="7" t="str">
        <f>IF($E53="","",IF($E53="not included",J53,VLOOKUP($E53,'DID-list_Part A'!$A$8:$L$245,11,FALSE)))</f>
        <v/>
      </c>
      <c r="O53" s="7" t="str">
        <f>IF($E53="","",IF($E53="not included",K53,VLOOKUP($E53,'DID-list_Part A'!$A$8:$L$245,12,FALSE)))</f>
        <v/>
      </c>
      <c r="P53" s="11"/>
    </row>
    <row r="54" spans="1:16">
      <c r="A54" s="6">
        <v>46</v>
      </c>
      <c r="B54" s="7" t="str">
        <f>IF('Ingoing substances'!B54="","",'Ingoing substances'!B54)</f>
        <v/>
      </c>
      <c r="C54" s="7" t="str">
        <f>IF('Ingoing substances'!C54="","",'Ingoing substances'!C54)</f>
        <v/>
      </c>
      <c r="D54" s="7" t="str">
        <f>IF('Ingoing substances'!G54="","",'Ingoing substances'!G54)</f>
        <v/>
      </c>
      <c r="E54" s="12"/>
      <c r="F54" s="7" t="str">
        <f>IF(E54="","",VLOOKUP($E54,'DID-list_Part A'!$A$8:$L$245,3,FALSE))</f>
        <v/>
      </c>
      <c r="G54" s="7">
        <f>'Ingoing substances'!M54</f>
        <v>0</v>
      </c>
      <c r="H54" s="11"/>
      <c r="I54" s="11"/>
      <c r="J54" s="11"/>
      <c r="K54" s="11"/>
      <c r="L54" s="7" t="str">
        <f>IF($E54="","",IF($E54="not included",H54,VLOOKUP($E54,'DID-list_Part A'!$A$8:$L$245,10,FALSE)))</f>
        <v/>
      </c>
      <c r="M54" s="7" t="str">
        <f>IF($E54="","",IF($E54="not included",I54,VLOOKUP($E54,'DID-list_Part A'!$A$8:$L$245,9,FALSE)))</f>
        <v/>
      </c>
      <c r="N54" s="7" t="str">
        <f>IF($E54="","",IF($E54="not included",J54,VLOOKUP($E54,'DID-list_Part A'!$A$8:$L$245,11,FALSE)))</f>
        <v/>
      </c>
      <c r="O54" s="7" t="str">
        <f>IF($E54="","",IF($E54="not included",K54,VLOOKUP($E54,'DID-list_Part A'!$A$8:$L$245,12,FALSE)))</f>
        <v/>
      </c>
      <c r="P54" s="11"/>
    </row>
    <row r="55" spans="1:16">
      <c r="A55" s="6">
        <v>47</v>
      </c>
      <c r="B55" s="7" t="str">
        <f>IF('Ingoing substances'!B55="","",'Ingoing substances'!B55)</f>
        <v/>
      </c>
      <c r="C55" s="7" t="str">
        <f>IF('Ingoing substances'!C55="","",'Ingoing substances'!C55)</f>
        <v/>
      </c>
      <c r="D55" s="7" t="str">
        <f>IF('Ingoing substances'!G55="","",'Ingoing substances'!G55)</f>
        <v/>
      </c>
      <c r="E55" s="12"/>
      <c r="F55" s="7" t="str">
        <f>IF(E55="","",VLOOKUP($E55,'DID-list_Part A'!$A$8:$L$245,3,FALSE))</f>
        <v/>
      </c>
      <c r="G55" s="7">
        <f>'Ingoing substances'!M55</f>
        <v>0</v>
      </c>
      <c r="H55" s="11"/>
      <c r="I55" s="11"/>
      <c r="J55" s="11"/>
      <c r="K55" s="11"/>
      <c r="L55" s="7" t="str">
        <f>IF($E55="","",IF($E55="not included",H55,VLOOKUP($E55,'DID-list_Part A'!$A$8:$L$245,10,FALSE)))</f>
        <v/>
      </c>
      <c r="M55" s="7" t="str">
        <f>IF($E55="","",IF($E55="not included",I55,VLOOKUP($E55,'DID-list_Part A'!$A$8:$L$245,9,FALSE)))</f>
        <v/>
      </c>
      <c r="N55" s="7" t="str">
        <f>IF($E55="","",IF($E55="not included",J55,VLOOKUP($E55,'DID-list_Part A'!$A$8:$L$245,11,FALSE)))</f>
        <v/>
      </c>
      <c r="O55" s="7" t="str">
        <f>IF($E55="","",IF($E55="not included",K55,VLOOKUP($E55,'DID-list_Part A'!$A$8:$L$245,12,FALSE)))</f>
        <v/>
      </c>
      <c r="P55" s="11"/>
    </row>
    <row r="56" spans="1:16">
      <c r="A56" s="6">
        <v>48</v>
      </c>
      <c r="B56" s="7" t="str">
        <f>IF('Ingoing substances'!B56="","",'Ingoing substances'!B56)</f>
        <v/>
      </c>
      <c r="C56" s="7" t="str">
        <f>IF('Ingoing substances'!C56="","",'Ingoing substances'!C56)</f>
        <v/>
      </c>
      <c r="D56" s="7" t="str">
        <f>IF('Ingoing substances'!G56="","",'Ingoing substances'!G56)</f>
        <v/>
      </c>
      <c r="E56" s="12"/>
      <c r="F56" s="7" t="str">
        <f>IF(E56="","",VLOOKUP($E56,'DID-list_Part A'!$A$8:$L$245,3,FALSE))</f>
        <v/>
      </c>
      <c r="G56" s="7">
        <f>'Ingoing substances'!M56</f>
        <v>0</v>
      </c>
      <c r="H56" s="11"/>
      <c r="I56" s="11"/>
      <c r="J56" s="11"/>
      <c r="K56" s="11"/>
      <c r="L56" s="7" t="str">
        <f>IF($E56="","",IF($E56="not included",H56,VLOOKUP($E56,'DID-list_Part A'!$A$8:$L$245,10,FALSE)))</f>
        <v/>
      </c>
      <c r="M56" s="7" t="str">
        <f>IF($E56="","",IF($E56="not included",I56,VLOOKUP($E56,'DID-list_Part A'!$A$8:$L$245,9,FALSE)))</f>
        <v/>
      </c>
      <c r="N56" s="7" t="str">
        <f>IF($E56="","",IF($E56="not included",J56,VLOOKUP($E56,'DID-list_Part A'!$A$8:$L$245,11,FALSE)))</f>
        <v/>
      </c>
      <c r="O56" s="7" t="str">
        <f>IF($E56="","",IF($E56="not included",K56,VLOOKUP($E56,'DID-list_Part A'!$A$8:$L$245,12,FALSE)))</f>
        <v/>
      </c>
      <c r="P56" s="11"/>
    </row>
    <row r="57" spans="1:16">
      <c r="A57" s="6">
        <v>49</v>
      </c>
      <c r="B57" s="7" t="str">
        <f>IF('Ingoing substances'!B57="","",'Ingoing substances'!B57)</f>
        <v/>
      </c>
      <c r="C57" s="7" t="str">
        <f>IF('Ingoing substances'!C57="","",'Ingoing substances'!C57)</f>
        <v/>
      </c>
      <c r="D57" s="7" t="str">
        <f>IF('Ingoing substances'!G57="","",'Ingoing substances'!G57)</f>
        <v/>
      </c>
      <c r="E57" s="12"/>
      <c r="F57" s="7" t="str">
        <f>IF(E57="","",VLOOKUP($E57,'DID-list_Part A'!$A$8:$L$245,3,FALSE))</f>
        <v/>
      </c>
      <c r="G57" s="7">
        <f>'Ingoing substances'!M57</f>
        <v>0</v>
      </c>
      <c r="H57" s="11"/>
      <c r="I57" s="11"/>
      <c r="J57" s="11"/>
      <c r="K57" s="11"/>
      <c r="L57" s="7" t="str">
        <f>IF($E57="","",IF($E57="not included",H57,VLOOKUP($E57,'DID-list_Part A'!$A$8:$L$245,10,FALSE)))</f>
        <v/>
      </c>
      <c r="M57" s="7" t="str">
        <f>IF($E57="","",IF($E57="not included",I57,VLOOKUP($E57,'DID-list_Part A'!$A$8:$L$245,9,FALSE)))</f>
        <v/>
      </c>
      <c r="N57" s="7" t="str">
        <f>IF($E57="","",IF($E57="not included",J57,VLOOKUP($E57,'DID-list_Part A'!$A$8:$L$245,11,FALSE)))</f>
        <v/>
      </c>
      <c r="O57" s="7" t="str">
        <f>IF($E57="","",IF($E57="not included",K57,VLOOKUP($E57,'DID-list_Part A'!$A$8:$L$245,12,FALSE)))</f>
        <v/>
      </c>
      <c r="P57" s="11"/>
    </row>
    <row r="58" spans="1:16">
      <c r="A58" s="6">
        <v>50</v>
      </c>
      <c r="B58" s="7" t="str">
        <f>IF('Ingoing substances'!B58="","",'Ingoing substances'!B58)</f>
        <v/>
      </c>
      <c r="C58" s="7" t="str">
        <f>IF('Ingoing substances'!C58="","",'Ingoing substances'!C58)</f>
        <v/>
      </c>
      <c r="D58" s="7" t="str">
        <f>IF('Ingoing substances'!G58="","",'Ingoing substances'!G58)</f>
        <v/>
      </c>
      <c r="E58" s="12"/>
      <c r="F58" s="7" t="str">
        <f>IF(E58="","",VLOOKUP($E58,'DID-list_Part A'!$A$8:$L$245,3,FALSE))</f>
        <v/>
      </c>
      <c r="G58" s="7">
        <f>'Ingoing substances'!M58</f>
        <v>0</v>
      </c>
      <c r="H58" s="11"/>
      <c r="I58" s="11"/>
      <c r="J58" s="11"/>
      <c r="K58" s="11"/>
      <c r="L58" s="7" t="str">
        <f>IF($E58="","",IF($E58="not included",H58,VLOOKUP($E58,'DID-list_Part A'!$A$8:$L$245,10,FALSE)))</f>
        <v/>
      </c>
      <c r="M58" s="7" t="str">
        <f>IF($E58="","",IF($E58="not included",I58,VLOOKUP($E58,'DID-list_Part A'!$A$8:$L$245,9,FALSE)))</f>
        <v/>
      </c>
      <c r="N58" s="7" t="str">
        <f>IF($E58="","",IF($E58="not included",J58,VLOOKUP($E58,'DID-list_Part A'!$A$8:$L$245,11,FALSE)))</f>
        <v/>
      </c>
      <c r="O58" s="7" t="str">
        <f>IF($E58="","",IF($E58="not included",K58,VLOOKUP($E58,'DID-list_Part A'!$A$8:$L$245,12,FALSE)))</f>
        <v/>
      </c>
      <c r="P58" s="11"/>
    </row>
    <row r="60" spans="1:16">
      <c r="B60" s="3" t="s">
        <v>534</v>
      </c>
    </row>
    <row r="61" spans="1:16">
      <c r="B61" s="316"/>
      <c r="C61" s="317"/>
      <c r="D61" s="317"/>
      <c r="E61" s="317"/>
      <c r="F61" s="317"/>
      <c r="G61" s="317"/>
      <c r="H61" s="318"/>
    </row>
    <row r="62" spans="1:16">
      <c r="B62" s="319"/>
      <c r="C62" s="320"/>
      <c r="D62" s="320"/>
      <c r="E62" s="320"/>
      <c r="F62" s="320"/>
      <c r="G62" s="320"/>
      <c r="H62" s="321"/>
    </row>
    <row r="63" spans="1:16">
      <c r="B63" s="319"/>
      <c r="C63" s="320"/>
      <c r="D63" s="320"/>
      <c r="E63" s="320"/>
      <c r="F63" s="320"/>
      <c r="G63" s="320"/>
      <c r="H63" s="321"/>
    </row>
    <row r="64" spans="1:16">
      <c r="B64" s="322"/>
      <c r="C64" s="323"/>
      <c r="D64" s="323"/>
      <c r="E64" s="323"/>
      <c r="F64" s="323"/>
      <c r="G64" s="323"/>
      <c r="H64" s="324"/>
    </row>
  </sheetData>
  <sheetProtection algorithmName="SHA-512" hashValue="BO10N3ZBZm8tyl0lrKmf9qQJXEmZwvo8kQJNOfQD3rhO17tvIgNmrAnIZ1yDX19yoTwbiJ3IzO7udVZmMpJKcQ==" saltValue="93K9d2Axzi+T1W9xROTt8g==" spinCount="100000" sheet="1" selectLockedCells="1"/>
  <mergeCells count="13">
    <mergeCell ref="M7:M8"/>
    <mergeCell ref="N7:N8"/>
    <mergeCell ref="O7:O8"/>
    <mergeCell ref="B7:B8"/>
    <mergeCell ref="H7:K7"/>
    <mergeCell ref="D7:D8"/>
    <mergeCell ref="E7:E8"/>
    <mergeCell ref="F7:F8"/>
    <mergeCell ref="B61:H64"/>
    <mergeCell ref="B1:D1"/>
    <mergeCell ref="C2:D2"/>
    <mergeCell ref="C3:D3"/>
    <mergeCell ref="L7:L8"/>
  </mergeCells>
  <conditionalFormatting sqref="H10:K58">
    <cfRule type="expression" dxfId="59" priority="3">
      <formula>$E10="not included"</formula>
    </cfRule>
  </conditionalFormatting>
  <conditionalFormatting sqref="P10:P58">
    <cfRule type="expression" dxfId="58" priority="2">
      <formula>O10="O"</formula>
    </cfRule>
  </conditionalFormatting>
  <conditionalFormatting sqref="E3">
    <cfRule type="expression" dxfId="57" priority="1">
      <formula>$C$3="Leave-on product"</formula>
    </cfRule>
  </conditionalFormatting>
  <dataValidations count="3">
    <dataValidation type="list" allowBlank="1" showInputMessage="1" showErrorMessage="1" sqref="J10:J58" xr:uid="{00000000-0002-0000-0300-000000000000}">
      <formula1>"R,I,P,O,NA"</formula1>
    </dataValidation>
    <dataValidation type="list" allowBlank="1" showInputMessage="1" showErrorMessage="1" sqref="K10:K58" xr:uid="{00000000-0002-0000-0300-000001000000}">
      <formula1>"Y,N,O,NA"</formula1>
    </dataValidation>
    <dataValidation type="list" allowBlank="1" showInputMessage="1" showErrorMessage="1" sqref="P11:P58 P10" xr:uid="{00000000-0002-0000-0300-000002000000}">
      <formula1>"1. low adsorption (A&lt;25%), 2. high desorption (D&gt;75%), 3. non-bioaccumulating, Test present,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Hoja2!$B$29:$B$32</xm:f>
          </x14:formula1>
          <xm:sqref>H10:H58</xm:sqref>
        </x14:dataValidation>
        <x14:dataValidation type="list" allowBlank="1" showInputMessage="1" showErrorMessage="1" xr:uid="{00000000-0002-0000-0300-000004000000}">
          <x14:formula1>
            <xm:f>'DID-list_Part A'!$A$8:$A$245</xm:f>
          </x14:formula1>
          <xm:sqref>E10:E27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1">
    <outlinePr showOutlineSymbols="0"/>
  </sheetPr>
  <dimension ref="A1:L67"/>
  <sheetViews>
    <sheetView showOutlineSymbols="0" zoomScale="70" zoomScaleNormal="70" workbookViewId="0">
      <selection activeCell="B64" sqref="B64:H67"/>
    </sheetView>
  </sheetViews>
  <sheetFormatPr defaultColWidth="11.42578125" defaultRowHeight="12.75"/>
  <cols>
    <col min="1" max="1" width="5.42578125" style="3" customWidth="1"/>
    <col min="2" max="2" width="30.7109375" style="3" customWidth="1"/>
    <col min="3" max="3" width="20.28515625" style="3" bestFit="1" customWidth="1"/>
    <col min="4" max="4" width="20.7109375" style="3" customWidth="1"/>
    <col min="5" max="5" width="21.85546875" style="3" customWidth="1"/>
    <col min="6" max="6" width="23" style="3" customWidth="1"/>
    <col min="7" max="7" width="20.7109375" style="3" customWidth="1"/>
    <col min="8" max="9" width="21.85546875" style="3" customWidth="1"/>
    <col min="10" max="10" width="23" style="3" customWidth="1"/>
    <col min="11" max="12" width="12.140625" style="3" customWidth="1"/>
    <col min="13" max="16384" width="11.42578125" style="3"/>
  </cols>
  <sheetData>
    <row r="1" spans="1:12">
      <c r="B1" s="330" t="s">
        <v>460</v>
      </c>
      <c r="C1" s="331"/>
      <c r="D1" s="331"/>
      <c r="E1" s="133"/>
    </row>
    <row r="2" spans="1:12">
      <c r="B2" s="132" t="s">
        <v>309</v>
      </c>
      <c r="C2" s="346">
        <f>'Product formulation'!C2</f>
        <v>0</v>
      </c>
      <c r="D2" s="347"/>
      <c r="E2" s="232"/>
    </row>
    <row r="3" spans="1:12">
      <c r="B3" s="132" t="s">
        <v>9</v>
      </c>
      <c r="C3" s="348" t="str">
        <f>'Product formulation'!C4</f>
        <v>Rinse-off products for animal care</v>
      </c>
      <c r="D3" s="349"/>
      <c r="E3" s="232"/>
    </row>
    <row r="5" spans="1:12" s="225" customFormat="1" ht="15.75">
      <c r="A5" s="225" t="s">
        <v>362</v>
      </c>
    </row>
    <row r="6" spans="1:12">
      <c r="C6" s="233"/>
    </row>
    <row r="7" spans="1:12" s="2" customFormat="1" ht="38.25">
      <c r="A7" s="5"/>
      <c r="B7" s="325" t="s">
        <v>12</v>
      </c>
      <c r="C7" s="221" t="s">
        <v>17</v>
      </c>
      <c r="D7" s="221" t="s">
        <v>300</v>
      </c>
      <c r="E7" s="221" t="s">
        <v>301</v>
      </c>
      <c r="F7" s="221" t="s">
        <v>312</v>
      </c>
      <c r="G7" s="221" t="s">
        <v>305</v>
      </c>
      <c r="H7" s="221" t="s">
        <v>306</v>
      </c>
      <c r="I7" s="221" t="s">
        <v>307</v>
      </c>
      <c r="J7" s="221" t="s">
        <v>523</v>
      </c>
      <c r="K7" s="3"/>
      <c r="L7" s="3"/>
    </row>
    <row r="8" spans="1:12" s="2" customFormat="1" ht="25.5">
      <c r="A8" s="5"/>
      <c r="B8" s="325"/>
      <c r="C8" s="226" t="s">
        <v>7</v>
      </c>
      <c r="D8" s="226" t="s">
        <v>302</v>
      </c>
      <c r="E8" s="226" t="s">
        <v>303</v>
      </c>
      <c r="F8" s="226" t="s">
        <v>304</v>
      </c>
      <c r="G8" s="226" t="s">
        <v>302</v>
      </c>
      <c r="H8" s="226" t="s">
        <v>303</v>
      </c>
      <c r="I8" s="226" t="s">
        <v>308</v>
      </c>
      <c r="J8" s="226" t="s">
        <v>308</v>
      </c>
      <c r="K8" s="3"/>
      <c r="L8" s="3"/>
    </row>
    <row r="9" spans="1:12">
      <c r="A9" s="6">
        <v>1</v>
      </c>
      <c r="B9" s="25" t="s">
        <v>11</v>
      </c>
      <c r="C9" s="25">
        <f>'Rinse-off - DID'!G9</f>
        <v>0</v>
      </c>
      <c r="D9" s="25"/>
      <c r="E9" s="7"/>
      <c r="F9" s="25"/>
      <c r="G9" s="25"/>
      <c r="H9" s="7"/>
      <c r="I9" s="7"/>
      <c r="J9" s="25"/>
    </row>
    <row r="10" spans="1:12">
      <c r="A10" s="6">
        <v>2</v>
      </c>
      <c r="B10" s="7" t="str">
        <f>'Rinse-off - DID'!B10</f>
        <v/>
      </c>
      <c r="C10" s="25" t="str">
        <f>IF(B10="","",'Rinse-off - DID'!G10)</f>
        <v/>
      </c>
      <c r="D10" s="7" t="str">
        <f>IF(B10="","",IF('Ingoing substances'!R10="Yes",C10,""))</f>
        <v/>
      </c>
      <c r="E10" s="26" t="str">
        <f>IF(B10="","",C10*'Rinse-off - DID'!L10*1000/'Rinse-off - DID'!M10)</f>
        <v/>
      </c>
      <c r="F10" s="26" t="str">
        <f>IF(B10="","",E10/$D$59)</f>
        <v/>
      </c>
      <c r="G10" s="26" t="str">
        <f>IF(OR('Ingoing substances'!I10="N",'Rinse-off - DID'!N10="R"),"",'Results 1&amp;2'!C10)</f>
        <v/>
      </c>
      <c r="H10" s="26" t="str">
        <f>IF(OR('Ingoing substances'!L10="N",'Rinse-off - DID'!O10="Y"),"",D10)</f>
        <v/>
      </c>
      <c r="I10" s="26" t="str">
        <f>IF(C10="","",(IF(OR('Ingoing substances'!R10="No",'Rinse-off - DID'!N10="R"),"",C10*1000/$D$59)))</f>
        <v/>
      </c>
      <c r="J10" s="26" t="str">
        <f>IF(C10="","",(IF(OR('Ingoing substances'!R10="No",'Rinse-off - DID'!O10="Y",'Rinse-off - DID'!Q10="Y"),"",C10*1000/$D$59)))</f>
        <v/>
      </c>
    </row>
    <row r="11" spans="1:12">
      <c r="A11" s="6">
        <v>3</v>
      </c>
      <c r="B11" s="7" t="str">
        <f>'Rinse-off - DID'!B11</f>
        <v/>
      </c>
      <c r="C11" s="25" t="str">
        <f>IF(B11="","",'Rinse-off - DID'!G11)</f>
        <v/>
      </c>
      <c r="D11" s="7" t="str">
        <f>IF(B11="","",IF('Ingoing substances'!R11="Yes",C11,""))</f>
        <v/>
      </c>
      <c r="E11" s="26" t="str">
        <f>IF(B11="","",C11*'Rinse-off - DID'!L11*1000/'Rinse-off - DID'!M11)</f>
        <v/>
      </c>
      <c r="F11" s="26" t="str">
        <f t="shared" ref="F11:F58" si="0">IF(B11="","",E11/$D$59)</f>
        <v/>
      </c>
      <c r="G11" s="26" t="str">
        <f>IF(OR('Ingoing substances'!I11="N",'Rinse-off - DID'!N11="R"),"",'Results 1&amp;2'!C11)</f>
        <v/>
      </c>
      <c r="H11" s="26" t="str">
        <f>IF(OR('Ingoing substances'!L11="N",'Rinse-off - DID'!O11="Y"),"",D11)</f>
        <v/>
      </c>
      <c r="I11" s="26" t="str">
        <f>IF(C11="","",(IF(OR('Ingoing substances'!R11="No",'Rinse-off - DID'!N11="R"),"",C11*1000/$D$59)))</f>
        <v/>
      </c>
      <c r="J11" s="26" t="str">
        <f>IF(C11="","",(IF(OR('Ingoing substances'!R11="No",'Rinse-off - DID'!O11="Y"),"",C11*1000/$D$59)))</f>
        <v/>
      </c>
    </row>
    <row r="12" spans="1:12">
      <c r="A12" s="6">
        <v>4</v>
      </c>
      <c r="B12" s="7" t="str">
        <f>'Rinse-off - DID'!B12</f>
        <v/>
      </c>
      <c r="C12" s="25" t="str">
        <f>IF(B12="","",'Rinse-off - DID'!G12)</f>
        <v/>
      </c>
      <c r="D12" s="7" t="str">
        <f>IF(B12="","",IF('Ingoing substances'!R12="Yes",C12,""))</f>
        <v/>
      </c>
      <c r="E12" s="26" t="str">
        <f>IF(B12="","",C12*'Rinse-off - DID'!L12*1000/'Rinse-off - DID'!M12)</f>
        <v/>
      </c>
      <c r="F12" s="26" t="str">
        <f t="shared" si="0"/>
        <v/>
      </c>
      <c r="G12" s="26" t="str">
        <f>IF(OR('Ingoing substances'!I12="N",'Rinse-off - DID'!N12="R"),"",'Results 1&amp;2'!C12)</f>
        <v/>
      </c>
      <c r="H12" s="26" t="str">
        <f>IF(OR('Ingoing substances'!L12="N",'Rinse-off - DID'!O12="Y"),"",D12)</f>
        <v/>
      </c>
      <c r="I12" s="26" t="str">
        <f>IF(C12="","",(IF(OR('Ingoing substances'!R12="No",'Rinse-off - DID'!N12="R"),"",C12*1000/$D$59)))</f>
        <v/>
      </c>
      <c r="J12" s="26" t="str">
        <f>IF(C12="","",(IF(OR('Ingoing substances'!R12="No",'Rinse-off - DID'!O12="Y"),"",C12*1000/$D$59)))</f>
        <v/>
      </c>
    </row>
    <row r="13" spans="1:12">
      <c r="A13" s="6">
        <v>5</v>
      </c>
      <c r="B13" s="7" t="str">
        <f>'Rinse-off - DID'!B13</f>
        <v/>
      </c>
      <c r="C13" s="25" t="str">
        <f>IF(B13="","",'Rinse-off - DID'!G13)</f>
        <v/>
      </c>
      <c r="D13" s="7" t="str">
        <f>IF(B13="","",IF('Ingoing substances'!R13="Yes",C13,""))</f>
        <v/>
      </c>
      <c r="E13" s="26" t="str">
        <f>IF(B13="","",C13*'Rinse-off - DID'!L13*1000/'Rinse-off - DID'!M13)</f>
        <v/>
      </c>
      <c r="F13" s="26" t="str">
        <f t="shared" si="0"/>
        <v/>
      </c>
      <c r="G13" s="26" t="str">
        <f>IF(OR('Ingoing substances'!I13="N",'Rinse-off - DID'!N13="R"),"",'Results 1&amp;2'!C13)</f>
        <v/>
      </c>
      <c r="H13" s="26" t="str">
        <f>IF(OR('Ingoing substances'!L13="N",'Rinse-off - DID'!O13="Y"),"",D13)</f>
        <v/>
      </c>
      <c r="I13" s="26" t="str">
        <f>IF(C13="","",(IF(OR('Ingoing substances'!R13="No",'Rinse-off - DID'!N13="R"),"",C13*1000/$D$59)))</f>
        <v/>
      </c>
      <c r="J13" s="26" t="str">
        <f>IF(C13="","",(IF(OR('Ingoing substances'!R13="No",'Rinse-off - DID'!O13="Y"),"",C13*1000/$D$59)))</f>
        <v/>
      </c>
    </row>
    <row r="14" spans="1:12">
      <c r="A14" s="6">
        <v>6</v>
      </c>
      <c r="B14" s="7" t="str">
        <f>'Rinse-off - DID'!B14</f>
        <v/>
      </c>
      <c r="C14" s="25" t="str">
        <f>IF(B14="","",'Rinse-off - DID'!G14)</f>
        <v/>
      </c>
      <c r="D14" s="7" t="str">
        <f>IF(B14="","",IF('Ingoing substances'!R14="Yes",C14,""))</f>
        <v/>
      </c>
      <c r="E14" s="26" t="str">
        <f>IF(B14="","",C14*'Rinse-off - DID'!L14*1000/'Rinse-off - DID'!M14)</f>
        <v/>
      </c>
      <c r="F14" s="26" t="str">
        <f t="shared" si="0"/>
        <v/>
      </c>
      <c r="G14" s="26" t="str">
        <f>IF(OR('Ingoing substances'!I14="N",'Rinse-off - DID'!N14="R"),"",'Results 1&amp;2'!C14)</f>
        <v/>
      </c>
      <c r="H14" s="26" t="str">
        <f>IF(OR('Ingoing substances'!L14="N",'Rinse-off - DID'!O14="Y"),"",D14)</f>
        <v/>
      </c>
      <c r="I14" s="26" t="str">
        <f>IF(C14="","",(IF(OR('Ingoing substances'!R14="No",'Rinse-off - DID'!N14="R"),"",C14*1000/$D$59)))</f>
        <v/>
      </c>
      <c r="J14" s="26" t="str">
        <f>IF(C14="","",(IF(OR('Ingoing substances'!R14="No",'Rinse-off - DID'!O14="Y"),"",C14*1000/$D$59)))</f>
        <v/>
      </c>
    </row>
    <row r="15" spans="1:12">
      <c r="A15" s="6">
        <v>7</v>
      </c>
      <c r="B15" s="7" t="str">
        <f>'Rinse-off - DID'!B15</f>
        <v/>
      </c>
      <c r="C15" s="25" t="str">
        <f>IF(B15="","",'Rinse-off - DID'!G15)</f>
        <v/>
      </c>
      <c r="D15" s="7" t="str">
        <f>IF(B15="","",IF('Ingoing substances'!R15="Yes",C15,""))</f>
        <v/>
      </c>
      <c r="E15" s="26" t="str">
        <f>IF(B15="","",C15*'Rinse-off - DID'!L15*1000/'Rinse-off - DID'!M15)</f>
        <v/>
      </c>
      <c r="F15" s="26" t="str">
        <f t="shared" si="0"/>
        <v/>
      </c>
      <c r="G15" s="26" t="str">
        <f>IF(OR('Ingoing substances'!I15="N",'Rinse-off - DID'!N15="R"),"",'Results 1&amp;2'!C15)</f>
        <v/>
      </c>
      <c r="H15" s="26" t="str">
        <f>IF(OR('Ingoing substances'!L15="N",'Rinse-off - DID'!O15="Y"),"",D15)</f>
        <v/>
      </c>
      <c r="I15" s="26" t="str">
        <f>IF(C15="","",(IF(OR('Ingoing substances'!R15="No",'Rinse-off - DID'!N15="R"),"",C15*1000/$D$59)))</f>
        <v/>
      </c>
      <c r="J15" s="26" t="str">
        <f>IF(C15="","",(IF(OR('Ingoing substances'!R15="No",'Rinse-off - DID'!O15="Y"),"",C15*1000/$D$59)))</f>
        <v/>
      </c>
    </row>
    <row r="16" spans="1:12">
      <c r="A16" s="6">
        <v>8</v>
      </c>
      <c r="B16" s="7" t="str">
        <f>'Rinse-off - DID'!B16</f>
        <v/>
      </c>
      <c r="C16" s="25" t="str">
        <f>IF(B16="","",'Rinse-off - DID'!G16)</f>
        <v/>
      </c>
      <c r="D16" s="7" t="str">
        <f>IF(B16="","",IF('Ingoing substances'!R16="Yes",C16,""))</f>
        <v/>
      </c>
      <c r="E16" s="26" t="str">
        <f>IF(B16="","",C16*'Rinse-off - DID'!L16*1000/'Rinse-off - DID'!M16)</f>
        <v/>
      </c>
      <c r="F16" s="26" t="str">
        <f t="shared" si="0"/>
        <v/>
      </c>
      <c r="G16" s="26" t="str">
        <f>IF(OR('Ingoing substances'!I16="N",'Rinse-off - DID'!N16="R"),"",'Results 1&amp;2'!C16)</f>
        <v/>
      </c>
      <c r="H16" s="26" t="str">
        <f>IF(OR('Ingoing substances'!L16="N",'Rinse-off - DID'!O16="Y"),"",D16)</f>
        <v/>
      </c>
      <c r="I16" s="26" t="str">
        <f>IF(C16="","",(IF(OR('Ingoing substances'!R16="No",'Rinse-off - DID'!N16="R"),"",C16*1000/$D$59)))</f>
        <v/>
      </c>
      <c r="J16" s="26" t="str">
        <f>IF(C16="","",(IF(OR('Ingoing substances'!R16="No",'Rinse-off - DID'!O16="Y"),"",C16*1000/$D$59)))</f>
        <v/>
      </c>
    </row>
    <row r="17" spans="1:10">
      <c r="A17" s="6">
        <v>9</v>
      </c>
      <c r="B17" s="7" t="str">
        <f>'Rinse-off - DID'!B17</f>
        <v/>
      </c>
      <c r="C17" s="25" t="str">
        <f>IF(B17="","",'Rinse-off - DID'!G17)</f>
        <v/>
      </c>
      <c r="D17" s="7" t="str">
        <f>IF(B17="","",IF('Ingoing substances'!R17="Yes",C17,""))</f>
        <v/>
      </c>
      <c r="E17" s="26" t="str">
        <f>IF(B17="","",C17*'Rinse-off - DID'!L17*1000/'Rinse-off - DID'!M17)</f>
        <v/>
      </c>
      <c r="F17" s="26" t="str">
        <f t="shared" si="0"/>
        <v/>
      </c>
      <c r="G17" s="26" t="str">
        <f>IF(OR('Ingoing substances'!I17="N",'Rinse-off - DID'!N17="R"),"",'Results 1&amp;2'!C17)</f>
        <v/>
      </c>
      <c r="H17" s="26" t="str">
        <f>IF(OR('Ingoing substances'!L17="N",'Rinse-off - DID'!O17="Y"),"",D17)</f>
        <v/>
      </c>
      <c r="I17" s="26" t="str">
        <f>IF(C17="","",(IF(OR('Ingoing substances'!R17="No",'Rinse-off - DID'!N17="R"),"",C17*1000/$D$59)))</f>
        <v/>
      </c>
      <c r="J17" s="26" t="str">
        <f>IF(C17="","",(IF(OR('Ingoing substances'!R17="No",'Rinse-off - DID'!O17="Y"),"",C17*1000/$D$59)))</f>
        <v/>
      </c>
    </row>
    <row r="18" spans="1:10">
      <c r="A18" s="6">
        <v>10</v>
      </c>
      <c r="B18" s="7" t="str">
        <f>'Rinse-off - DID'!B18</f>
        <v/>
      </c>
      <c r="C18" s="25" t="str">
        <f>IF(B18="","",'Rinse-off - DID'!G18)</f>
        <v/>
      </c>
      <c r="D18" s="7" t="str">
        <f>IF(B18="","",IF('Ingoing substances'!R18="Yes",C18,""))</f>
        <v/>
      </c>
      <c r="E18" s="26" t="str">
        <f>IF(B18="","",C18*'Rinse-off - DID'!L18*1000/'Rinse-off - DID'!M18)</f>
        <v/>
      </c>
      <c r="F18" s="26" t="str">
        <f t="shared" si="0"/>
        <v/>
      </c>
      <c r="G18" s="26" t="str">
        <f>IF(OR('Ingoing substances'!I18="N",'Rinse-off - DID'!N18="R"),"",'Results 1&amp;2'!C18)</f>
        <v/>
      </c>
      <c r="H18" s="26" t="str">
        <f>IF(OR('Ingoing substances'!L18="N",'Rinse-off - DID'!O18="Y"),"",D18)</f>
        <v/>
      </c>
      <c r="I18" s="26" t="str">
        <f>IF(C18="","",(IF(OR('Ingoing substances'!R18="No",'Rinse-off - DID'!N18="R"),"",C18*1000/$D$59)))</f>
        <v/>
      </c>
      <c r="J18" s="26" t="str">
        <f>IF(C18="","",(IF(OR('Ingoing substances'!R18="No",'Rinse-off - DID'!O18="Y"),"",C18*1000/$D$59)))</f>
        <v/>
      </c>
    </row>
    <row r="19" spans="1:10">
      <c r="A19" s="6">
        <v>11</v>
      </c>
      <c r="B19" s="7" t="str">
        <f>'Rinse-off - DID'!B19</f>
        <v/>
      </c>
      <c r="C19" s="25" t="str">
        <f>IF(B19="","",'Rinse-off - DID'!G19)</f>
        <v/>
      </c>
      <c r="D19" s="7" t="str">
        <f>IF(B19="","",IF('Ingoing substances'!R19="Yes",C19,""))</f>
        <v/>
      </c>
      <c r="E19" s="26" t="str">
        <f>IF(B19="","",C19*'Rinse-off - DID'!L19*1000/'Rinse-off - DID'!M19)</f>
        <v/>
      </c>
      <c r="F19" s="26" t="str">
        <f t="shared" si="0"/>
        <v/>
      </c>
      <c r="G19" s="26" t="str">
        <f>IF(OR('Ingoing substances'!I19="N",'Rinse-off - DID'!N19="R"),"",'Results 1&amp;2'!C19)</f>
        <v/>
      </c>
      <c r="H19" s="26" t="str">
        <f>IF(OR('Ingoing substances'!L19="N",'Rinse-off - DID'!O19="Y"),"",D19)</f>
        <v/>
      </c>
      <c r="I19" s="26" t="str">
        <f>IF(C19="","",(IF(OR('Ingoing substances'!R19="No",'Rinse-off - DID'!N19="R"),"",C19*1000/$D$59)))</f>
        <v/>
      </c>
      <c r="J19" s="26" t="str">
        <f>IF(C19="","",(IF(OR('Ingoing substances'!R19="No",'Rinse-off - DID'!O19="Y"),"",C19*1000/$D$59)))</f>
        <v/>
      </c>
    </row>
    <row r="20" spans="1:10">
      <c r="A20" s="6">
        <v>12</v>
      </c>
      <c r="B20" s="7" t="str">
        <f>'Rinse-off - DID'!B20</f>
        <v/>
      </c>
      <c r="C20" s="25" t="str">
        <f>IF(B20="","",'Rinse-off - DID'!G20)</f>
        <v/>
      </c>
      <c r="D20" s="7" t="str">
        <f>IF(B20="","",IF('Ingoing substances'!R20="Yes",C20,""))</f>
        <v/>
      </c>
      <c r="E20" s="26" t="str">
        <f>IF(B20="","",C20*'Rinse-off - DID'!L20*1000/'Rinse-off - DID'!M20)</f>
        <v/>
      </c>
      <c r="F20" s="26" t="str">
        <f t="shared" si="0"/>
        <v/>
      </c>
      <c r="G20" s="26" t="str">
        <f>IF(OR('Ingoing substances'!I20="N",'Rinse-off - DID'!N20="R"),"",'Results 1&amp;2'!C20)</f>
        <v/>
      </c>
      <c r="H20" s="26" t="str">
        <f>IF(OR('Ingoing substances'!L20="N",'Rinse-off - DID'!O20="Y"),"",D20)</f>
        <v/>
      </c>
      <c r="I20" s="26" t="str">
        <f>IF(C20="","",(IF(OR('Ingoing substances'!R20="No",'Rinse-off - DID'!N20="R"),"",C20*1000/$D$59)))</f>
        <v/>
      </c>
      <c r="J20" s="26" t="str">
        <f>IF(C20="","",(IF(OR('Ingoing substances'!R20="No",'Rinse-off - DID'!O20="Y"),"",C20*1000/$D$59)))</f>
        <v/>
      </c>
    </row>
    <row r="21" spans="1:10">
      <c r="A21" s="6">
        <v>13</v>
      </c>
      <c r="B21" s="7" t="str">
        <f>'Rinse-off - DID'!B21</f>
        <v/>
      </c>
      <c r="C21" s="25" t="str">
        <f>IF(B21="","",'Rinse-off - DID'!G21)</f>
        <v/>
      </c>
      <c r="D21" s="7" t="str">
        <f>IF(B21="","",IF('Ingoing substances'!R21="Yes",C21,""))</f>
        <v/>
      </c>
      <c r="E21" s="26" t="str">
        <f>IF(B21="","",C21*'Rinse-off - DID'!L21*1000/'Rinse-off - DID'!M21)</f>
        <v/>
      </c>
      <c r="F21" s="26" t="str">
        <f t="shared" si="0"/>
        <v/>
      </c>
      <c r="G21" s="26" t="str">
        <f>IF(OR('Ingoing substances'!I21="N",'Rinse-off - DID'!N21="R"),"",'Results 1&amp;2'!C21)</f>
        <v/>
      </c>
      <c r="H21" s="26" t="str">
        <f>IF(OR('Ingoing substances'!L21="N",'Rinse-off - DID'!O21="Y"),"",D21)</f>
        <v/>
      </c>
      <c r="I21" s="26" t="str">
        <f>IF(C21="","",(IF(OR('Ingoing substances'!R21="No",'Rinse-off - DID'!N21="R"),"",C21*1000/$D$59)))</f>
        <v/>
      </c>
      <c r="J21" s="26" t="str">
        <f>IF(C21="","",(IF(OR('Ingoing substances'!R21="No",'Rinse-off - DID'!O21="Y"),"",C21*1000/$D$59)))</f>
        <v/>
      </c>
    </row>
    <row r="22" spans="1:10">
      <c r="A22" s="6">
        <v>14</v>
      </c>
      <c r="B22" s="7" t="str">
        <f>'Rinse-off - DID'!B22</f>
        <v/>
      </c>
      <c r="C22" s="25" t="str">
        <f>IF(B22="","",'Rinse-off - DID'!G22)</f>
        <v/>
      </c>
      <c r="D22" s="7" t="str">
        <f>IF(B22="","",IF('Ingoing substances'!R22="Yes",C22,""))</f>
        <v/>
      </c>
      <c r="E22" s="26" t="str">
        <f>IF(B22="","",C22*'Rinse-off - DID'!L22*1000/'Rinse-off - DID'!M22)</f>
        <v/>
      </c>
      <c r="F22" s="26" t="str">
        <f t="shared" si="0"/>
        <v/>
      </c>
      <c r="G22" s="26" t="str">
        <f>IF(OR('Ingoing substances'!I22="N",'Rinse-off - DID'!N22="R"),"",'Results 1&amp;2'!C22)</f>
        <v/>
      </c>
      <c r="H22" s="26" t="str">
        <f>IF(OR('Ingoing substances'!L22="N",'Rinse-off - DID'!O22="Y"),"",D22)</f>
        <v/>
      </c>
      <c r="I22" s="26" t="str">
        <f>IF(C22="","",(IF(OR('Ingoing substances'!R22="No",'Rinse-off - DID'!N22="R"),"",C22*1000/$D$59)))</f>
        <v/>
      </c>
      <c r="J22" s="26" t="str">
        <f>IF(C22="","",(IF(OR('Ingoing substances'!R22="No",'Rinse-off - DID'!O22="Y"),"",C22*1000/$D$59)))</f>
        <v/>
      </c>
    </row>
    <row r="23" spans="1:10">
      <c r="A23" s="6">
        <v>15</v>
      </c>
      <c r="B23" s="7" t="str">
        <f>'Rinse-off - DID'!B23</f>
        <v/>
      </c>
      <c r="C23" s="25" t="str">
        <f>IF(B23="","",'Rinse-off - DID'!G23)</f>
        <v/>
      </c>
      <c r="D23" s="7" t="str">
        <f>IF(B23="","",IF('Ingoing substances'!R23="Yes",C23,""))</f>
        <v/>
      </c>
      <c r="E23" s="26" t="str">
        <f>IF(B23="","",C23*'Rinse-off - DID'!L23*1000/'Rinse-off - DID'!M23)</f>
        <v/>
      </c>
      <c r="F23" s="26" t="str">
        <f t="shared" si="0"/>
        <v/>
      </c>
      <c r="G23" s="26" t="str">
        <f>IF(OR('Ingoing substances'!I23="N",'Rinse-off - DID'!N23="R"),"",'Results 1&amp;2'!C23)</f>
        <v/>
      </c>
      <c r="H23" s="26" t="str">
        <f>IF(OR('Ingoing substances'!L23="N",'Rinse-off - DID'!O23="Y"),"",D23)</f>
        <v/>
      </c>
      <c r="I23" s="26" t="str">
        <f>IF(C23="","",(IF(OR('Ingoing substances'!R23="No",'Rinse-off - DID'!N23="R"),"",C23*1000/$D$59)))</f>
        <v/>
      </c>
      <c r="J23" s="26" t="str">
        <f>IF(C23="","",(IF(OR('Ingoing substances'!R23="No",'Rinse-off - DID'!O23="Y"),"",C23*1000/$D$59)))</f>
        <v/>
      </c>
    </row>
    <row r="24" spans="1:10">
      <c r="A24" s="6">
        <v>16</v>
      </c>
      <c r="B24" s="7" t="str">
        <f>'Rinse-off - DID'!B24</f>
        <v/>
      </c>
      <c r="C24" s="25" t="str">
        <f>IF(B24="","",'Rinse-off - DID'!G24)</f>
        <v/>
      </c>
      <c r="D24" s="7" t="str">
        <f>IF(B24="","",IF('Ingoing substances'!R24="Yes",C24,""))</f>
        <v/>
      </c>
      <c r="E24" s="26" t="str">
        <f>IF(B24="","",C24*'Rinse-off - DID'!L24*1000/'Rinse-off - DID'!M24)</f>
        <v/>
      </c>
      <c r="F24" s="26" t="str">
        <f t="shared" si="0"/>
        <v/>
      </c>
      <c r="G24" s="26" t="str">
        <f>IF(OR('Ingoing substances'!I24="N",'Rinse-off - DID'!N24="R"),"",'Results 1&amp;2'!C24)</f>
        <v/>
      </c>
      <c r="H24" s="26" t="str">
        <f>IF(OR('Ingoing substances'!L24="N",'Rinse-off - DID'!O24="Y"),"",D24)</f>
        <v/>
      </c>
      <c r="I24" s="26" t="str">
        <f>IF(C24="","",(IF(OR('Ingoing substances'!R24="No",'Rinse-off - DID'!N24="R"),"",C24*1000/$D$59)))</f>
        <v/>
      </c>
      <c r="J24" s="26" t="str">
        <f>IF(C24="","",(IF(OR('Ingoing substances'!R24="No",'Rinse-off - DID'!O24="Y"),"",C24*1000/$D$59)))</f>
        <v/>
      </c>
    </row>
    <row r="25" spans="1:10">
      <c r="A25" s="6">
        <v>17</v>
      </c>
      <c r="B25" s="7" t="str">
        <f>'Rinse-off - DID'!B25</f>
        <v/>
      </c>
      <c r="C25" s="25" t="str">
        <f>IF(B25="","",'Rinse-off - DID'!G25)</f>
        <v/>
      </c>
      <c r="D25" s="7" t="str">
        <f>IF(B25="","",IF('Ingoing substances'!R25="Yes",C25,""))</f>
        <v/>
      </c>
      <c r="E25" s="26" t="str">
        <f>IF(B25="","",C25*'Rinse-off - DID'!L25*1000/'Rinse-off - DID'!M25)</f>
        <v/>
      </c>
      <c r="F25" s="26" t="str">
        <f t="shared" si="0"/>
        <v/>
      </c>
      <c r="G25" s="26" t="str">
        <f>IF(OR('Ingoing substances'!I25="N",'Rinse-off - DID'!N25="R"),"",'Results 1&amp;2'!C25)</f>
        <v/>
      </c>
      <c r="H25" s="26" t="str">
        <f>IF(OR('Ingoing substances'!L25="N",'Rinse-off - DID'!O25="Y"),"",D25)</f>
        <v/>
      </c>
      <c r="I25" s="26" t="str">
        <f>IF(C25="","",(IF(OR('Ingoing substances'!R25="No",'Rinse-off - DID'!N25="R"),"",C25*1000/$D$59)))</f>
        <v/>
      </c>
      <c r="J25" s="26" t="str">
        <f>IF(C25="","",(IF(OR('Ingoing substances'!R25="No",'Rinse-off - DID'!O25="Y"),"",C25*1000/$D$59)))</f>
        <v/>
      </c>
    </row>
    <row r="26" spans="1:10">
      <c r="A26" s="6">
        <v>18</v>
      </c>
      <c r="B26" s="7" t="str">
        <f>'Rinse-off - DID'!B26</f>
        <v/>
      </c>
      <c r="C26" s="25" t="str">
        <f>IF(B26="","",'Rinse-off - DID'!G26)</f>
        <v/>
      </c>
      <c r="D26" s="7" t="str">
        <f>IF(B26="","",IF('Ingoing substances'!R26="Yes",C26,""))</f>
        <v/>
      </c>
      <c r="E26" s="26" t="str">
        <f>IF(B26="","",C26*'Rinse-off - DID'!L26*1000/'Rinse-off - DID'!M26)</f>
        <v/>
      </c>
      <c r="F26" s="26" t="str">
        <f t="shared" si="0"/>
        <v/>
      </c>
      <c r="G26" s="26" t="str">
        <f>IF(OR('Ingoing substances'!I26="N",'Rinse-off - DID'!N26="R"),"",'Results 1&amp;2'!C26)</f>
        <v/>
      </c>
      <c r="H26" s="26" t="str">
        <f>IF(OR('Ingoing substances'!L26="N",'Rinse-off - DID'!O26="Y"),"",D26)</f>
        <v/>
      </c>
      <c r="I26" s="26" t="str">
        <f>IF(C26="","",(IF(OR('Ingoing substances'!R26="No",'Rinse-off - DID'!N26="R"),"",C26*1000/$D$59)))</f>
        <v/>
      </c>
      <c r="J26" s="26" t="str">
        <f>IF(C26="","",(IF(OR('Ingoing substances'!R26="No",'Rinse-off - DID'!O26="Y"),"",C26*1000/$D$59)))</f>
        <v/>
      </c>
    </row>
    <row r="27" spans="1:10">
      <c r="A27" s="6">
        <v>19</v>
      </c>
      <c r="B27" s="7" t="str">
        <f>'Rinse-off - DID'!B27</f>
        <v/>
      </c>
      <c r="C27" s="25" t="str">
        <f>IF(B27="","",'Rinse-off - DID'!G27)</f>
        <v/>
      </c>
      <c r="D27" s="7" t="str">
        <f>IF(B27="","",IF('Ingoing substances'!R27="Yes",C27,""))</f>
        <v/>
      </c>
      <c r="E27" s="26" t="str">
        <f>IF(B27="","",C27*'Rinse-off - DID'!L27*1000/'Rinse-off - DID'!M27)</f>
        <v/>
      </c>
      <c r="F27" s="26" t="str">
        <f t="shared" si="0"/>
        <v/>
      </c>
      <c r="G27" s="26" t="str">
        <f>IF(OR('Ingoing substances'!I27="N",'Rinse-off - DID'!N27="R"),"",'Results 1&amp;2'!C27)</f>
        <v/>
      </c>
      <c r="H27" s="26" t="str">
        <f>IF(OR('Ingoing substances'!L27="N",'Rinse-off - DID'!O27="Y"),"",D27)</f>
        <v/>
      </c>
      <c r="I27" s="26" t="str">
        <f>IF(C27="","",(IF(OR('Ingoing substances'!R27="No",'Rinse-off - DID'!N27="R"),"",C27*1000/$D$59)))</f>
        <v/>
      </c>
      <c r="J27" s="26" t="str">
        <f>IF(C27="","",(IF(OR('Ingoing substances'!R27="No",'Rinse-off - DID'!O27="Y"),"",C27*1000/$D$59)))</f>
        <v/>
      </c>
    </row>
    <row r="28" spans="1:10">
      <c r="A28" s="6">
        <v>20</v>
      </c>
      <c r="B28" s="7" t="str">
        <f>'Rinse-off - DID'!B28</f>
        <v/>
      </c>
      <c r="C28" s="25" t="str">
        <f>IF(B28="","",'Rinse-off - DID'!G28)</f>
        <v/>
      </c>
      <c r="D28" s="7" t="str">
        <f>IF(B28="","",IF('Ingoing substances'!R28="Yes",C28,""))</f>
        <v/>
      </c>
      <c r="E28" s="26" t="str">
        <f>IF(B28="","",C28*'Rinse-off - DID'!L28*1000/'Rinse-off - DID'!M28)</f>
        <v/>
      </c>
      <c r="F28" s="26" t="str">
        <f t="shared" si="0"/>
        <v/>
      </c>
      <c r="G28" s="26" t="str">
        <f>IF(OR('Ingoing substances'!I28="N",'Rinse-off - DID'!N28="R"),"",'Results 1&amp;2'!C28)</f>
        <v/>
      </c>
      <c r="H28" s="26" t="str">
        <f>IF(OR('Ingoing substances'!L28="N",'Rinse-off - DID'!O28="Y"),"",D28)</f>
        <v/>
      </c>
      <c r="I28" s="26" t="str">
        <f>IF(C28="","",(IF(OR('Ingoing substances'!R28="No",'Rinse-off - DID'!N28="R"),"",C28*1000/$D$59)))</f>
        <v/>
      </c>
      <c r="J28" s="26" t="str">
        <f>IF(C28="","",(IF(OR('Ingoing substances'!R28="No",'Rinse-off - DID'!O28="Y"),"",C28*1000/$D$59)))</f>
        <v/>
      </c>
    </row>
    <row r="29" spans="1:10">
      <c r="A29" s="6">
        <v>21</v>
      </c>
      <c r="B29" s="7" t="str">
        <f>'Rinse-off - DID'!B29</f>
        <v/>
      </c>
      <c r="C29" s="25" t="str">
        <f>IF(B29="","",'Rinse-off - DID'!G29)</f>
        <v/>
      </c>
      <c r="D29" s="7" t="str">
        <f>IF(B29="","",IF('Ingoing substances'!R29="Yes",C29,""))</f>
        <v/>
      </c>
      <c r="E29" s="26" t="str">
        <f>IF(B29="","",C29*'Rinse-off - DID'!L29*1000/'Rinse-off - DID'!M29)</f>
        <v/>
      </c>
      <c r="F29" s="26" t="str">
        <f t="shared" si="0"/>
        <v/>
      </c>
      <c r="G29" s="26" t="str">
        <f>IF(OR('Ingoing substances'!I29="N",'Rinse-off - DID'!N29="R"),"",'Results 1&amp;2'!C29)</f>
        <v/>
      </c>
      <c r="H29" s="26" t="str">
        <f>IF(OR('Ingoing substances'!L29="N",'Rinse-off - DID'!O29="Y"),"",D29)</f>
        <v/>
      </c>
      <c r="I29" s="26" t="str">
        <f>IF(C29="","",(IF(OR('Ingoing substances'!R29="No",'Rinse-off - DID'!N29="R"),"",C29*1000/$D$59)))</f>
        <v/>
      </c>
      <c r="J29" s="26" t="str">
        <f>IF(C29="","",(IF(OR('Ingoing substances'!R29="No",'Rinse-off - DID'!O29="Y"),"",C29*1000/$D$59)))</f>
        <v/>
      </c>
    </row>
    <row r="30" spans="1:10">
      <c r="A30" s="6">
        <v>22</v>
      </c>
      <c r="B30" s="7" t="str">
        <f>'Rinse-off - DID'!B30</f>
        <v/>
      </c>
      <c r="C30" s="25" t="str">
        <f>IF(B30="","",'Rinse-off - DID'!G30)</f>
        <v/>
      </c>
      <c r="D30" s="7" t="str">
        <f>IF(B30="","",IF('Ingoing substances'!R30="Yes",C30,""))</f>
        <v/>
      </c>
      <c r="E30" s="26" t="str">
        <f>IF(B30="","",C30*'Rinse-off - DID'!L30*1000/'Rinse-off - DID'!M30)</f>
        <v/>
      </c>
      <c r="F30" s="26" t="str">
        <f t="shared" si="0"/>
        <v/>
      </c>
      <c r="G30" s="26" t="str">
        <f>IF(OR('Ingoing substances'!I30="N",'Rinse-off - DID'!N30="R"),"",'Results 1&amp;2'!C30)</f>
        <v/>
      </c>
      <c r="H30" s="26" t="str">
        <f>IF(OR('Ingoing substances'!L30="N",'Rinse-off - DID'!O30="Y"),"",D30)</f>
        <v/>
      </c>
      <c r="I30" s="26" t="str">
        <f>IF(C30="","",(IF(OR('Ingoing substances'!R30="No",'Rinse-off - DID'!N30="R"),"",C30*1000/$D$59)))</f>
        <v/>
      </c>
      <c r="J30" s="26" t="str">
        <f>IF(C30="","",(IF(OR('Ingoing substances'!R30="No",'Rinse-off - DID'!O30="Y"),"",C30*1000/$D$59)))</f>
        <v/>
      </c>
    </row>
    <row r="31" spans="1:10">
      <c r="A31" s="6">
        <v>23</v>
      </c>
      <c r="B31" s="7" t="str">
        <f>'Rinse-off - DID'!B31</f>
        <v/>
      </c>
      <c r="C31" s="25" t="str">
        <f>IF(B31="","",'Rinse-off - DID'!G31)</f>
        <v/>
      </c>
      <c r="D31" s="7" t="str">
        <f>IF(B31="","",IF('Ingoing substances'!R31="Yes",C31,""))</f>
        <v/>
      </c>
      <c r="E31" s="26" t="str">
        <f>IF(B31="","",C31*'Rinse-off - DID'!L31*1000/'Rinse-off - DID'!M31)</f>
        <v/>
      </c>
      <c r="F31" s="26" t="str">
        <f t="shared" si="0"/>
        <v/>
      </c>
      <c r="G31" s="26" t="str">
        <f>IF(OR('Ingoing substances'!I31="N",'Rinse-off - DID'!N31="R"),"",'Results 1&amp;2'!C31)</f>
        <v/>
      </c>
      <c r="H31" s="26" t="str">
        <f>IF(OR('Ingoing substances'!L31="N",'Rinse-off - DID'!O31="Y"),"",D31)</f>
        <v/>
      </c>
      <c r="I31" s="26" t="str">
        <f>IF(C31="","",(IF(OR('Ingoing substances'!R31="No",'Rinse-off - DID'!N31="R"),"",C31*1000/$D$59)))</f>
        <v/>
      </c>
      <c r="J31" s="26" t="str">
        <f>IF(C31="","",(IF(OR('Ingoing substances'!R31="No",'Rinse-off - DID'!O31="Y"),"",C31*1000/$D$59)))</f>
        <v/>
      </c>
    </row>
    <row r="32" spans="1:10">
      <c r="A32" s="6">
        <v>24</v>
      </c>
      <c r="B32" s="7" t="str">
        <f>'Rinse-off - DID'!B32</f>
        <v/>
      </c>
      <c r="C32" s="25" t="str">
        <f>IF(B32="","",'Rinse-off - DID'!G32)</f>
        <v/>
      </c>
      <c r="D32" s="7" t="str">
        <f>IF(B32="","",IF('Ingoing substances'!R32="Yes",C32,""))</f>
        <v/>
      </c>
      <c r="E32" s="26" t="str">
        <f>IF(B32="","",C32*'Rinse-off - DID'!L32*1000/'Rinse-off - DID'!M32)</f>
        <v/>
      </c>
      <c r="F32" s="26" t="str">
        <f t="shared" si="0"/>
        <v/>
      </c>
      <c r="G32" s="26" t="str">
        <f>IF(OR('Ingoing substances'!I32="N",'Rinse-off - DID'!N32="R"),"",'Results 1&amp;2'!C32)</f>
        <v/>
      </c>
      <c r="H32" s="26" t="str">
        <f>IF(OR('Ingoing substances'!L32="N",'Rinse-off - DID'!O32="Y"),"",D32)</f>
        <v/>
      </c>
      <c r="I32" s="26" t="str">
        <f>IF(C32="","",(IF(OR('Ingoing substances'!R32="No",'Rinse-off - DID'!N32="R"),"",C32*1000/$D$59)))</f>
        <v/>
      </c>
      <c r="J32" s="26" t="str">
        <f>IF(C32="","",(IF(OR('Ingoing substances'!R32="No",'Rinse-off - DID'!O32="Y"),"",C32*1000/$D$59)))</f>
        <v/>
      </c>
    </row>
    <row r="33" spans="1:10">
      <c r="A33" s="6">
        <v>25</v>
      </c>
      <c r="B33" s="7" t="str">
        <f>'Rinse-off - DID'!B33</f>
        <v/>
      </c>
      <c r="C33" s="25" t="str">
        <f>IF(B33="","",'Rinse-off - DID'!G33)</f>
        <v/>
      </c>
      <c r="D33" s="7" t="str">
        <f>IF(B33="","",IF('Ingoing substances'!R33="Yes",C33,""))</f>
        <v/>
      </c>
      <c r="E33" s="26" t="str">
        <f>IF(B33="","",C33*'Rinse-off - DID'!L33*1000/'Rinse-off - DID'!M33)</f>
        <v/>
      </c>
      <c r="F33" s="26" t="str">
        <f t="shared" si="0"/>
        <v/>
      </c>
      <c r="G33" s="26" t="str">
        <f>IF(OR('Ingoing substances'!I33="N",'Rinse-off - DID'!N33="R"),"",'Results 1&amp;2'!C33)</f>
        <v/>
      </c>
      <c r="H33" s="26" t="str">
        <f>IF(OR('Ingoing substances'!L33="N",'Rinse-off - DID'!O33="Y"),"",D33)</f>
        <v/>
      </c>
      <c r="I33" s="26" t="str">
        <f>IF(C33="","",(IF(OR('Ingoing substances'!R33="No",'Rinse-off - DID'!N33="R"),"",C33*1000/$D$59)))</f>
        <v/>
      </c>
      <c r="J33" s="26" t="str">
        <f>IF(C33="","",(IF(OR('Ingoing substances'!R33="No",'Rinse-off - DID'!O33="Y"),"",C33*1000/$D$59)))</f>
        <v/>
      </c>
    </row>
    <row r="34" spans="1:10">
      <c r="A34" s="6">
        <v>26</v>
      </c>
      <c r="B34" s="7" t="str">
        <f>'Rinse-off - DID'!B34</f>
        <v/>
      </c>
      <c r="C34" s="25" t="str">
        <f>IF(B34="","",'Rinse-off - DID'!G34)</f>
        <v/>
      </c>
      <c r="D34" s="7" t="str">
        <f>IF(B34="","",IF('Ingoing substances'!R34="Yes",C34,""))</f>
        <v/>
      </c>
      <c r="E34" s="26" t="str">
        <f>IF(B34="","",C34*'Rinse-off - DID'!L34*1000/'Rinse-off - DID'!M34)</f>
        <v/>
      </c>
      <c r="F34" s="26" t="str">
        <f t="shared" si="0"/>
        <v/>
      </c>
      <c r="G34" s="26" t="str">
        <f>IF(OR('Ingoing substances'!I34="N",'Rinse-off - DID'!N34="R"),"",'Results 1&amp;2'!C34)</f>
        <v/>
      </c>
      <c r="H34" s="26" t="str">
        <f>IF(OR('Ingoing substances'!L34="N",'Rinse-off - DID'!O34="Y"),"",D34)</f>
        <v/>
      </c>
      <c r="I34" s="26" t="str">
        <f>IF(C34="","",(IF(OR('Ingoing substances'!R34="No",'Rinse-off - DID'!N34="R"),"",C34*1000/$D$59)))</f>
        <v/>
      </c>
      <c r="J34" s="26" t="str">
        <f>IF(C34="","",(IF(OR('Ingoing substances'!R34="No",'Rinse-off - DID'!O34="Y"),"",C34*1000/$D$59)))</f>
        <v/>
      </c>
    </row>
    <row r="35" spans="1:10">
      <c r="A35" s="6">
        <v>27</v>
      </c>
      <c r="B35" s="7" t="str">
        <f>'Rinse-off - DID'!B35</f>
        <v/>
      </c>
      <c r="C35" s="25" t="str">
        <f>IF(B35="","",'Rinse-off - DID'!G35)</f>
        <v/>
      </c>
      <c r="D35" s="7" t="str">
        <f>IF(B35="","",IF('Ingoing substances'!R35="Yes",C35,""))</f>
        <v/>
      </c>
      <c r="E35" s="26" t="str">
        <f>IF(B35="","",C35*'Rinse-off - DID'!L35*1000/'Rinse-off - DID'!M35)</f>
        <v/>
      </c>
      <c r="F35" s="26" t="str">
        <f t="shared" si="0"/>
        <v/>
      </c>
      <c r="G35" s="26" t="str">
        <f>IF(OR('Ingoing substances'!I35="N",'Rinse-off - DID'!N35="R"),"",'Results 1&amp;2'!C35)</f>
        <v/>
      </c>
      <c r="H35" s="26" t="str">
        <f>IF(OR('Ingoing substances'!L35="N",'Rinse-off - DID'!O35="Y"),"",D35)</f>
        <v/>
      </c>
      <c r="I35" s="26" t="str">
        <f>IF(C35="","",(IF(OR('Ingoing substances'!R35="No",'Rinse-off - DID'!N35="R"),"",C35*1000/$D$59)))</f>
        <v/>
      </c>
      <c r="J35" s="26" t="str">
        <f>IF(C35="","",(IF(OR('Ingoing substances'!R35="No",'Rinse-off - DID'!O35="Y"),"",C35*1000/$D$59)))</f>
        <v/>
      </c>
    </row>
    <row r="36" spans="1:10">
      <c r="A36" s="6">
        <v>28</v>
      </c>
      <c r="B36" s="7" t="str">
        <f>'Rinse-off - DID'!B36</f>
        <v/>
      </c>
      <c r="C36" s="25" t="str">
        <f>IF(B36="","",'Rinse-off - DID'!G36)</f>
        <v/>
      </c>
      <c r="D36" s="7" t="str">
        <f>IF(B36="","",IF('Ingoing substances'!R36="Yes",C36,""))</f>
        <v/>
      </c>
      <c r="E36" s="26" t="str">
        <f>IF(B36="","",C36*'Rinse-off - DID'!L36*1000/'Rinse-off - DID'!M36)</f>
        <v/>
      </c>
      <c r="F36" s="26" t="str">
        <f t="shared" si="0"/>
        <v/>
      </c>
      <c r="G36" s="26" t="str">
        <f>IF(OR('Ingoing substances'!I36="N",'Rinse-off - DID'!N36="R"),"",'Results 1&amp;2'!C36)</f>
        <v/>
      </c>
      <c r="H36" s="26" t="str">
        <f>IF(OR('Ingoing substances'!L36="N",'Rinse-off - DID'!O36="Y"),"",D36)</f>
        <v/>
      </c>
      <c r="I36" s="26" t="str">
        <f>IF(C36="","",(IF(OR('Ingoing substances'!R36="No",'Rinse-off - DID'!N36="R"),"",C36*1000/$D$59)))</f>
        <v/>
      </c>
      <c r="J36" s="26" t="str">
        <f>IF(C36="","",(IF(OR('Ingoing substances'!R36="No",'Rinse-off - DID'!O36="Y"),"",C36*1000/$D$59)))</f>
        <v/>
      </c>
    </row>
    <row r="37" spans="1:10">
      <c r="A37" s="6">
        <v>29</v>
      </c>
      <c r="B37" s="7" t="str">
        <f>'Rinse-off - DID'!B37</f>
        <v/>
      </c>
      <c r="C37" s="25" t="str">
        <f>IF(B37="","",'Rinse-off - DID'!G37)</f>
        <v/>
      </c>
      <c r="D37" s="7" t="str">
        <f>IF(B37="","",IF('Ingoing substances'!R37="Yes",C37,""))</f>
        <v/>
      </c>
      <c r="E37" s="26" t="str">
        <f>IF(B37="","",C37*'Rinse-off - DID'!L37*1000/'Rinse-off - DID'!M37)</f>
        <v/>
      </c>
      <c r="F37" s="26" t="str">
        <f t="shared" si="0"/>
        <v/>
      </c>
      <c r="G37" s="26" t="str">
        <f>IF(OR('Ingoing substances'!I37="N",'Rinse-off - DID'!N37="R"),"",'Results 1&amp;2'!C37)</f>
        <v/>
      </c>
      <c r="H37" s="26" t="str">
        <f>IF(OR('Ingoing substances'!L37="N",'Rinse-off - DID'!O37="Y"),"",D37)</f>
        <v/>
      </c>
      <c r="I37" s="26" t="str">
        <f>IF(C37="","",(IF(OR('Ingoing substances'!R37="No",'Rinse-off - DID'!N37="R"),"",C37*1000/$D$59)))</f>
        <v/>
      </c>
      <c r="J37" s="26" t="str">
        <f>IF(C37="","",(IF(OR('Ingoing substances'!R37="No",'Rinse-off - DID'!O37="Y"),"",C37*1000/$D$59)))</f>
        <v/>
      </c>
    </row>
    <row r="38" spans="1:10">
      <c r="A38" s="6">
        <v>30</v>
      </c>
      <c r="B38" s="7" t="str">
        <f>'Rinse-off - DID'!B38</f>
        <v/>
      </c>
      <c r="C38" s="25" t="str">
        <f>IF(B38="","",'Rinse-off - DID'!G38)</f>
        <v/>
      </c>
      <c r="D38" s="7" t="str">
        <f>IF(B38="","",IF('Ingoing substances'!R38="Yes",C38,""))</f>
        <v/>
      </c>
      <c r="E38" s="26" t="str">
        <f>IF(B38="","",C38*'Rinse-off - DID'!L38*1000/'Rinse-off - DID'!M38)</f>
        <v/>
      </c>
      <c r="F38" s="26" t="str">
        <f t="shared" si="0"/>
        <v/>
      </c>
      <c r="G38" s="26" t="str">
        <f>IF(OR('Ingoing substances'!I38="N",'Rinse-off - DID'!N38="R"),"",'Results 1&amp;2'!C38)</f>
        <v/>
      </c>
      <c r="H38" s="26" t="str">
        <f>IF(OR('Ingoing substances'!L38="N",'Rinse-off - DID'!O38="Y"),"",D38)</f>
        <v/>
      </c>
      <c r="I38" s="26" t="str">
        <f>IF(C38="","",(IF(OR('Ingoing substances'!R38="No",'Rinse-off - DID'!N38="R"),"",C38*1000/$D$59)))</f>
        <v/>
      </c>
      <c r="J38" s="26" t="str">
        <f>IF(C38="","",(IF(OR('Ingoing substances'!R38="No",'Rinse-off - DID'!O38="Y"),"",C38*1000/$D$59)))</f>
        <v/>
      </c>
    </row>
    <row r="39" spans="1:10">
      <c r="A39" s="6">
        <v>31</v>
      </c>
      <c r="B39" s="7" t="str">
        <f>'Rinse-off - DID'!B39</f>
        <v/>
      </c>
      <c r="C39" s="25" t="str">
        <f>IF(B39="","",'Rinse-off - DID'!G39)</f>
        <v/>
      </c>
      <c r="D39" s="7" t="str">
        <f>IF(B39="","",IF('Ingoing substances'!R39="Yes",C39,""))</f>
        <v/>
      </c>
      <c r="E39" s="26" t="str">
        <f>IF(B39="","",C39*'Rinse-off - DID'!L39*1000/'Rinse-off - DID'!M39)</f>
        <v/>
      </c>
      <c r="F39" s="26" t="str">
        <f t="shared" si="0"/>
        <v/>
      </c>
      <c r="G39" s="26" t="str">
        <f>IF(OR('Ingoing substances'!I39="N",'Rinse-off - DID'!N39="R"),"",'Results 1&amp;2'!C39)</f>
        <v/>
      </c>
      <c r="H39" s="26" t="str">
        <f>IF(OR('Ingoing substances'!L39="N",'Rinse-off - DID'!O39="Y"),"",D39)</f>
        <v/>
      </c>
      <c r="I39" s="26" t="str">
        <f>IF(C39="","",(IF(OR('Ingoing substances'!R39="No",'Rinse-off - DID'!N39="R"),"",C39*1000/$D$59)))</f>
        <v/>
      </c>
      <c r="J39" s="26" t="str">
        <f>IF(C39="","",(IF(OR('Ingoing substances'!R39="No",'Rinse-off - DID'!O39="Y"),"",C39*1000/$D$59)))</f>
        <v/>
      </c>
    </row>
    <row r="40" spans="1:10">
      <c r="A40" s="6">
        <v>32</v>
      </c>
      <c r="B40" s="7" t="str">
        <f>'Rinse-off - DID'!B40</f>
        <v/>
      </c>
      <c r="C40" s="25" t="str">
        <f>IF(B40="","",'Rinse-off - DID'!G40)</f>
        <v/>
      </c>
      <c r="D40" s="7" t="str">
        <f>IF(B40="","",IF('Ingoing substances'!R40="Yes",C40,""))</f>
        <v/>
      </c>
      <c r="E40" s="26" t="str">
        <f>IF(B40="","",C40*'Rinse-off - DID'!L40*1000/'Rinse-off - DID'!M40)</f>
        <v/>
      </c>
      <c r="F40" s="26" t="str">
        <f t="shared" si="0"/>
        <v/>
      </c>
      <c r="G40" s="26" t="str">
        <f>IF(OR('Ingoing substances'!I40="N",'Rinse-off - DID'!N40="R"),"",'Results 1&amp;2'!C40)</f>
        <v/>
      </c>
      <c r="H40" s="26" t="str">
        <f>IF(OR('Ingoing substances'!L40="N",'Rinse-off - DID'!O40="Y"),"",D40)</f>
        <v/>
      </c>
      <c r="I40" s="26" t="str">
        <f>IF(C40="","",(IF(OR('Ingoing substances'!R40="No",'Rinse-off - DID'!N40="R"),"",C40*1000/$D$59)))</f>
        <v/>
      </c>
      <c r="J40" s="26" t="str">
        <f>IF(C40="","",(IF(OR('Ingoing substances'!R40="No",'Rinse-off - DID'!O40="Y"),"",C40*1000/$D$59)))</f>
        <v/>
      </c>
    </row>
    <row r="41" spans="1:10">
      <c r="A41" s="6">
        <v>33</v>
      </c>
      <c r="B41" s="7" t="str">
        <f>'Rinse-off - DID'!B41</f>
        <v/>
      </c>
      <c r="C41" s="25" t="str">
        <f>IF(B41="","",'Rinse-off - DID'!G41)</f>
        <v/>
      </c>
      <c r="D41" s="7" t="str">
        <f>IF(B41="","",IF('Ingoing substances'!R41="Yes",C41,""))</f>
        <v/>
      </c>
      <c r="E41" s="26" t="str">
        <f>IF(B41="","",C41*'Rinse-off - DID'!L41*1000/'Rinse-off - DID'!M41)</f>
        <v/>
      </c>
      <c r="F41" s="26" t="str">
        <f t="shared" si="0"/>
        <v/>
      </c>
      <c r="G41" s="26" t="str">
        <f>IF(OR('Ingoing substances'!I41="N",'Rinse-off - DID'!N41="R"),"",'Results 1&amp;2'!C41)</f>
        <v/>
      </c>
      <c r="H41" s="26" t="str">
        <f>IF(OR('Ingoing substances'!L41="N",'Rinse-off - DID'!O41="Y"),"",D41)</f>
        <v/>
      </c>
      <c r="I41" s="26" t="str">
        <f>IF(C41="","",(IF(OR('Ingoing substances'!R41="No",'Rinse-off - DID'!N41="R"),"",C41*1000/$D$59)))</f>
        <v/>
      </c>
      <c r="J41" s="26" t="str">
        <f>IF(C41="","",(IF(OR('Ingoing substances'!R41="No",'Rinse-off - DID'!O41="Y"),"",C41*1000/$D$59)))</f>
        <v/>
      </c>
    </row>
    <row r="42" spans="1:10">
      <c r="A42" s="6">
        <v>34</v>
      </c>
      <c r="B42" s="7" t="str">
        <f>'Rinse-off - DID'!B42</f>
        <v/>
      </c>
      <c r="C42" s="25" t="str">
        <f>IF(B42="","",'Rinse-off - DID'!G42)</f>
        <v/>
      </c>
      <c r="D42" s="7" t="str">
        <f>IF(B42="","",IF('Ingoing substances'!R42="Yes",C42,""))</f>
        <v/>
      </c>
      <c r="E42" s="26" t="str">
        <f>IF(B42="","",C42*'Rinse-off - DID'!L42*1000/'Rinse-off - DID'!M42)</f>
        <v/>
      </c>
      <c r="F42" s="26" t="str">
        <f t="shared" si="0"/>
        <v/>
      </c>
      <c r="G42" s="26" t="str">
        <f>IF(OR('Ingoing substances'!I42="N",'Rinse-off - DID'!N42="R"),"",'Results 1&amp;2'!C42)</f>
        <v/>
      </c>
      <c r="H42" s="26" t="str">
        <f>IF(OR('Ingoing substances'!L42="N",'Rinse-off - DID'!O42="Y"),"",D42)</f>
        <v/>
      </c>
      <c r="I42" s="26" t="str">
        <f>IF(C42="","",(IF(OR('Ingoing substances'!R42="No",'Rinse-off - DID'!N42="R"),"",C42*1000/$D$59)))</f>
        <v/>
      </c>
      <c r="J42" s="26" t="str">
        <f>IF(C42="","",(IF(OR('Ingoing substances'!R42="No",'Rinse-off - DID'!O42="Y"),"",C42*1000/$D$59)))</f>
        <v/>
      </c>
    </row>
    <row r="43" spans="1:10">
      <c r="A43" s="6">
        <v>35</v>
      </c>
      <c r="B43" s="7" t="str">
        <f>'Rinse-off - DID'!B43</f>
        <v/>
      </c>
      <c r="C43" s="25" t="str">
        <f>IF(B43="","",'Rinse-off - DID'!G43)</f>
        <v/>
      </c>
      <c r="D43" s="7" t="str">
        <f>IF(B43="","",IF('Ingoing substances'!R43="Yes",C43,""))</f>
        <v/>
      </c>
      <c r="E43" s="26" t="str">
        <f>IF(B43="","",C43*'Rinse-off - DID'!L43*1000/'Rinse-off - DID'!M43)</f>
        <v/>
      </c>
      <c r="F43" s="26" t="str">
        <f t="shared" si="0"/>
        <v/>
      </c>
      <c r="G43" s="26" t="str">
        <f>IF(OR('Ingoing substances'!I43="N",'Rinse-off - DID'!N43="R"),"",'Results 1&amp;2'!C43)</f>
        <v/>
      </c>
      <c r="H43" s="26" t="str">
        <f>IF(OR('Ingoing substances'!L43="N",'Rinse-off - DID'!O43="Y"),"",D43)</f>
        <v/>
      </c>
      <c r="I43" s="26" t="str">
        <f>IF(C43="","",(IF(OR('Ingoing substances'!R43="No",'Rinse-off - DID'!N43="R"),"",C43*1000/$D$59)))</f>
        <v/>
      </c>
      <c r="J43" s="26" t="str">
        <f>IF(C43="","",(IF(OR('Ingoing substances'!R43="No",'Rinse-off - DID'!O43="Y"),"",C43*1000/$D$59)))</f>
        <v/>
      </c>
    </row>
    <row r="44" spans="1:10">
      <c r="A44" s="6">
        <v>36</v>
      </c>
      <c r="B44" s="7" t="str">
        <f>'Rinse-off - DID'!B44</f>
        <v/>
      </c>
      <c r="C44" s="25" t="str">
        <f>IF(B44="","",'Rinse-off - DID'!G44)</f>
        <v/>
      </c>
      <c r="D44" s="7" t="str">
        <f>IF(B44="","",IF('Ingoing substances'!R44="Yes",C44,""))</f>
        <v/>
      </c>
      <c r="E44" s="26" t="str">
        <f>IF(B44="","",C44*'Rinse-off - DID'!L44*1000/'Rinse-off - DID'!M44)</f>
        <v/>
      </c>
      <c r="F44" s="26" t="str">
        <f t="shared" si="0"/>
        <v/>
      </c>
      <c r="G44" s="26" t="str">
        <f>IF(OR('Ingoing substances'!I44="N",'Rinse-off - DID'!N44="R"),"",'Results 1&amp;2'!C44)</f>
        <v/>
      </c>
      <c r="H44" s="26" t="str">
        <f>IF(OR('Ingoing substances'!L44="N",'Rinse-off - DID'!O44="Y"),"",D44)</f>
        <v/>
      </c>
      <c r="I44" s="26" t="str">
        <f>IF(C44="","",(IF(OR('Ingoing substances'!R44="No",'Rinse-off - DID'!N44="R"),"",C44*1000/$D$59)))</f>
        <v/>
      </c>
      <c r="J44" s="26" t="str">
        <f>IF(C44="","",(IF(OR('Ingoing substances'!R44="No",'Rinse-off - DID'!O44="Y"),"",C44*1000/$D$59)))</f>
        <v/>
      </c>
    </row>
    <row r="45" spans="1:10">
      <c r="A45" s="6">
        <v>37</v>
      </c>
      <c r="B45" s="7" t="str">
        <f>'Rinse-off - DID'!B45</f>
        <v/>
      </c>
      <c r="C45" s="25" t="str">
        <f>IF(B45="","",'Rinse-off - DID'!G45)</f>
        <v/>
      </c>
      <c r="D45" s="7" t="str">
        <f>IF(B45="","",IF('Ingoing substances'!R45="Yes",C45,""))</f>
        <v/>
      </c>
      <c r="E45" s="26" t="str">
        <f>IF(B45="","",C45*'Rinse-off - DID'!L45*1000/'Rinse-off - DID'!M45)</f>
        <v/>
      </c>
      <c r="F45" s="26" t="str">
        <f t="shared" si="0"/>
        <v/>
      </c>
      <c r="G45" s="26" t="str">
        <f>IF(OR('Ingoing substances'!I45="N",'Rinse-off - DID'!N45="R"),"",'Results 1&amp;2'!C45)</f>
        <v/>
      </c>
      <c r="H45" s="26" t="str">
        <f>IF(OR('Ingoing substances'!L45="N",'Rinse-off - DID'!O45="Y"),"",D45)</f>
        <v/>
      </c>
      <c r="I45" s="26" t="str">
        <f>IF(C45="","",(IF(OR('Ingoing substances'!R45="No",'Rinse-off - DID'!N45="R"),"",C45*1000/$D$59)))</f>
        <v/>
      </c>
      <c r="J45" s="26" t="str">
        <f>IF(C45="","",(IF(OR('Ingoing substances'!R45="No",'Rinse-off - DID'!O45="Y"),"",C45*1000/$D$59)))</f>
        <v/>
      </c>
    </row>
    <row r="46" spans="1:10">
      <c r="A46" s="6">
        <v>38</v>
      </c>
      <c r="B46" s="7" t="str">
        <f>'Rinse-off - DID'!B46</f>
        <v/>
      </c>
      <c r="C46" s="25" t="str">
        <f>IF(B46="","",'Rinse-off - DID'!G46)</f>
        <v/>
      </c>
      <c r="D46" s="7" t="str">
        <f>IF(B46="","",IF('Ingoing substances'!R46="Yes",C46,""))</f>
        <v/>
      </c>
      <c r="E46" s="26" t="str">
        <f>IF(B46="","",C46*'Rinse-off - DID'!L46*1000/'Rinse-off - DID'!M46)</f>
        <v/>
      </c>
      <c r="F46" s="26" t="str">
        <f t="shared" si="0"/>
        <v/>
      </c>
      <c r="G46" s="26" t="str">
        <f>IF(OR('Ingoing substances'!I46="N",'Rinse-off - DID'!N46="R"),"",'Results 1&amp;2'!C46)</f>
        <v/>
      </c>
      <c r="H46" s="26" t="str">
        <f>IF(OR('Ingoing substances'!L46="N",'Rinse-off - DID'!O46="Y"),"",D46)</f>
        <v/>
      </c>
      <c r="I46" s="26" t="str">
        <f>IF(C46="","",(IF(OR('Ingoing substances'!R46="No",'Rinse-off - DID'!N46="R"),"",C46*1000/$D$59)))</f>
        <v/>
      </c>
      <c r="J46" s="26" t="str">
        <f>IF(C46="","",(IF(OR('Ingoing substances'!R46="No",'Rinse-off - DID'!O46="Y"),"",C46*1000/$D$59)))</f>
        <v/>
      </c>
    </row>
    <row r="47" spans="1:10">
      <c r="A47" s="6">
        <v>39</v>
      </c>
      <c r="B47" s="7" t="str">
        <f>'Rinse-off - DID'!B47</f>
        <v/>
      </c>
      <c r="C47" s="25" t="str">
        <f>IF(B47="","",'Rinse-off - DID'!G47)</f>
        <v/>
      </c>
      <c r="D47" s="7" t="str">
        <f>IF(B47="","",IF('Ingoing substances'!R47="Yes",C47,""))</f>
        <v/>
      </c>
      <c r="E47" s="26" t="str">
        <f>IF(B47="","",C47*'Rinse-off - DID'!L47*1000/'Rinse-off - DID'!M47)</f>
        <v/>
      </c>
      <c r="F47" s="26" t="str">
        <f t="shared" si="0"/>
        <v/>
      </c>
      <c r="G47" s="26" t="str">
        <f>IF(OR('Ingoing substances'!I47="N",'Rinse-off - DID'!N47="R"),"",'Results 1&amp;2'!C47)</f>
        <v/>
      </c>
      <c r="H47" s="26" t="str">
        <f>IF(OR('Ingoing substances'!L47="N",'Rinse-off - DID'!O47="Y"),"",D47)</f>
        <v/>
      </c>
      <c r="I47" s="26" t="str">
        <f>IF(C47="","",(IF(OR('Ingoing substances'!R47="No",'Rinse-off - DID'!N47="R"),"",C47*1000/$D$59)))</f>
        <v/>
      </c>
      <c r="J47" s="26" t="str">
        <f>IF(C47="","",(IF(OR('Ingoing substances'!R47="No",'Rinse-off - DID'!O47="Y"),"",C47*1000/$D$59)))</f>
        <v/>
      </c>
    </row>
    <row r="48" spans="1:10">
      <c r="A48" s="6">
        <v>40</v>
      </c>
      <c r="B48" s="7" t="str">
        <f>'Rinse-off - DID'!B48</f>
        <v/>
      </c>
      <c r="C48" s="25" t="str">
        <f>IF(B48="","",'Rinse-off - DID'!G48)</f>
        <v/>
      </c>
      <c r="D48" s="7" t="str">
        <f>IF(B48="","",IF('Ingoing substances'!R48="Yes",C48,""))</f>
        <v/>
      </c>
      <c r="E48" s="26" t="str">
        <f>IF(B48="","",C48*'Rinse-off - DID'!L48*1000/'Rinse-off - DID'!M48)</f>
        <v/>
      </c>
      <c r="F48" s="26" t="str">
        <f t="shared" si="0"/>
        <v/>
      </c>
      <c r="G48" s="26" t="str">
        <f>IF(OR('Ingoing substances'!I48="N",'Rinse-off - DID'!N48="R"),"",'Results 1&amp;2'!C48)</f>
        <v/>
      </c>
      <c r="H48" s="26" t="str">
        <f>IF(OR('Ingoing substances'!L48="N",'Rinse-off - DID'!O48="Y"),"",D48)</f>
        <v/>
      </c>
      <c r="I48" s="26" t="str">
        <f>IF(C48="","",(IF(OR('Ingoing substances'!R48="No",'Rinse-off - DID'!N48="R"),"",C48*1000/$D$59)))</f>
        <v/>
      </c>
      <c r="J48" s="26" t="str">
        <f>IF(C48="","",(IF(OR('Ingoing substances'!R48="No",'Rinse-off - DID'!O48="Y"),"",C48*1000/$D$59)))</f>
        <v/>
      </c>
    </row>
    <row r="49" spans="1:10">
      <c r="A49" s="6">
        <v>41</v>
      </c>
      <c r="B49" s="7" t="str">
        <f>'Rinse-off - DID'!B49</f>
        <v/>
      </c>
      <c r="C49" s="25" t="str">
        <f>IF(B49="","",'Rinse-off - DID'!G49)</f>
        <v/>
      </c>
      <c r="D49" s="7" t="str">
        <f>IF(B49="","",IF('Ingoing substances'!R49="Yes",C49,""))</f>
        <v/>
      </c>
      <c r="E49" s="26" t="str">
        <f>IF(B49="","",C49*'Rinse-off - DID'!L49*1000/'Rinse-off - DID'!M49)</f>
        <v/>
      </c>
      <c r="F49" s="26" t="str">
        <f t="shared" si="0"/>
        <v/>
      </c>
      <c r="G49" s="26" t="str">
        <f>IF(OR('Ingoing substances'!I49="N",'Rinse-off - DID'!N49="R"),"",'Results 1&amp;2'!C49)</f>
        <v/>
      </c>
      <c r="H49" s="26" t="str">
        <f>IF(OR('Ingoing substances'!L49="N",'Rinse-off - DID'!O49="Y"),"",D49)</f>
        <v/>
      </c>
      <c r="I49" s="26" t="str">
        <f>IF(C49="","",(IF(OR('Ingoing substances'!R49="No",'Rinse-off - DID'!N49="R"),"",C49*1000/$D$59)))</f>
        <v/>
      </c>
      <c r="J49" s="26" t="str">
        <f>IF(C49="","",(IF(OR('Ingoing substances'!R49="No",'Rinse-off - DID'!O49="Y"),"",C49*1000/$D$59)))</f>
        <v/>
      </c>
    </row>
    <row r="50" spans="1:10">
      <c r="A50" s="6">
        <v>42</v>
      </c>
      <c r="B50" s="7" t="str">
        <f>'Rinse-off - DID'!B50</f>
        <v/>
      </c>
      <c r="C50" s="25" t="str">
        <f>IF(B50="","",'Rinse-off - DID'!G50)</f>
        <v/>
      </c>
      <c r="D50" s="7" t="str">
        <f>IF(B50="","",IF('Ingoing substances'!R50="Yes",C50,""))</f>
        <v/>
      </c>
      <c r="E50" s="26" t="str">
        <f>IF(B50="","",C50*'Rinse-off - DID'!L50*1000/'Rinse-off - DID'!M50)</f>
        <v/>
      </c>
      <c r="F50" s="26" t="str">
        <f t="shared" si="0"/>
        <v/>
      </c>
      <c r="G50" s="26" t="str">
        <f>IF(OR('Ingoing substances'!I50="N",'Rinse-off - DID'!N50="R"),"",'Results 1&amp;2'!C50)</f>
        <v/>
      </c>
      <c r="H50" s="26" t="str">
        <f>IF(OR('Ingoing substances'!L50="N",'Rinse-off - DID'!O50="Y"),"",D50)</f>
        <v/>
      </c>
      <c r="I50" s="26" t="str">
        <f>IF(C50="","",(IF(OR('Ingoing substances'!R50="No",'Rinse-off - DID'!N50="R"),"",C50*1000/$D$59)))</f>
        <v/>
      </c>
      <c r="J50" s="26" t="str">
        <f>IF(C50="","",(IF(OR('Ingoing substances'!R50="No",'Rinse-off - DID'!O50="Y"),"",C50*1000/$D$59)))</f>
        <v/>
      </c>
    </row>
    <row r="51" spans="1:10">
      <c r="A51" s="6">
        <v>43</v>
      </c>
      <c r="B51" s="7" t="str">
        <f>'Rinse-off - DID'!B51</f>
        <v/>
      </c>
      <c r="C51" s="25" t="str">
        <f>IF(B51="","",'Rinse-off - DID'!G51)</f>
        <v/>
      </c>
      <c r="D51" s="7" t="str">
        <f>IF(B51="","",IF('Ingoing substances'!R51="Yes",C51,""))</f>
        <v/>
      </c>
      <c r="E51" s="26" t="str">
        <f>IF(B51="","",C51*'Rinse-off - DID'!L51*1000/'Rinse-off - DID'!M51)</f>
        <v/>
      </c>
      <c r="F51" s="26" t="str">
        <f t="shared" si="0"/>
        <v/>
      </c>
      <c r="G51" s="26" t="str">
        <f>IF(OR('Ingoing substances'!I51="N",'Rinse-off - DID'!N51="R"),"",'Results 1&amp;2'!C51)</f>
        <v/>
      </c>
      <c r="H51" s="26" t="str">
        <f>IF(OR('Ingoing substances'!L51="N",'Rinse-off - DID'!O51="Y"),"",D51)</f>
        <v/>
      </c>
      <c r="I51" s="26" t="str">
        <f>IF(C51="","",(IF(OR('Ingoing substances'!R51="No",'Rinse-off - DID'!N51="R"),"",C51*1000/$D$59)))</f>
        <v/>
      </c>
      <c r="J51" s="26" t="str">
        <f>IF(C51="","",(IF(OR('Ingoing substances'!R51="No",'Rinse-off - DID'!O51="Y"),"",C51*1000/$D$59)))</f>
        <v/>
      </c>
    </row>
    <row r="52" spans="1:10">
      <c r="A52" s="6">
        <v>44</v>
      </c>
      <c r="B52" s="7" t="str">
        <f>'Rinse-off - DID'!B52</f>
        <v/>
      </c>
      <c r="C52" s="25" t="str">
        <f>IF(B52="","",'Rinse-off - DID'!G52)</f>
        <v/>
      </c>
      <c r="D52" s="7" t="str">
        <f>IF(B52="","",IF('Ingoing substances'!R52="Yes",C52,""))</f>
        <v/>
      </c>
      <c r="E52" s="26" t="str">
        <f>IF(B52="","",C52*'Rinse-off - DID'!L52*1000/'Rinse-off - DID'!M52)</f>
        <v/>
      </c>
      <c r="F52" s="26" t="str">
        <f t="shared" si="0"/>
        <v/>
      </c>
      <c r="G52" s="26" t="str">
        <f>IF(OR('Ingoing substances'!I52="N",'Rinse-off - DID'!N52="R"),"",'Results 1&amp;2'!C52)</f>
        <v/>
      </c>
      <c r="H52" s="26" t="str">
        <f>IF(OR('Ingoing substances'!L52="N",'Rinse-off - DID'!O52="Y"),"",D52)</f>
        <v/>
      </c>
      <c r="I52" s="26" t="str">
        <f>IF(C52="","",(IF(OR('Ingoing substances'!R52="No",'Rinse-off - DID'!N52="R"),"",C52*1000/$D$59)))</f>
        <v/>
      </c>
      <c r="J52" s="26" t="str">
        <f>IF(C52="","",(IF(OR('Ingoing substances'!R52="No",'Rinse-off - DID'!O52="Y"),"",C52*1000/$D$59)))</f>
        <v/>
      </c>
    </row>
    <row r="53" spans="1:10">
      <c r="A53" s="6">
        <v>45</v>
      </c>
      <c r="B53" s="7" t="str">
        <f>'Rinse-off - DID'!B53</f>
        <v/>
      </c>
      <c r="C53" s="25" t="str">
        <f>IF(B53="","",'Rinse-off - DID'!G53)</f>
        <v/>
      </c>
      <c r="D53" s="7" t="str">
        <f>IF(B53="","",IF('Ingoing substances'!R53="Yes",C53,""))</f>
        <v/>
      </c>
      <c r="E53" s="26" t="str">
        <f>IF(B53="","",C53*'Rinse-off - DID'!L53*1000/'Rinse-off - DID'!M53)</f>
        <v/>
      </c>
      <c r="F53" s="26" t="str">
        <f t="shared" si="0"/>
        <v/>
      </c>
      <c r="G53" s="26" t="str">
        <f>IF(OR('Ingoing substances'!I53="N",'Rinse-off - DID'!N53="R"),"",'Results 1&amp;2'!C53)</f>
        <v/>
      </c>
      <c r="H53" s="26" t="str">
        <f>IF(OR('Ingoing substances'!L53="N",'Rinse-off - DID'!O53="Y"),"",D53)</f>
        <v/>
      </c>
      <c r="I53" s="26" t="str">
        <f>IF(C53="","",(IF(OR('Ingoing substances'!R53="No",'Rinse-off - DID'!N53="R"),"",C53*1000/$D$59)))</f>
        <v/>
      </c>
      <c r="J53" s="26" t="str">
        <f>IF(C53="","",(IF(OR('Ingoing substances'!R53="No",'Rinse-off - DID'!O53="Y"),"",C53*1000/$D$59)))</f>
        <v/>
      </c>
    </row>
    <row r="54" spans="1:10">
      <c r="A54" s="6">
        <v>46</v>
      </c>
      <c r="B54" s="7" t="str">
        <f>'Rinse-off - DID'!B54</f>
        <v/>
      </c>
      <c r="C54" s="25" t="str">
        <f>IF(B54="","",'Rinse-off - DID'!G54)</f>
        <v/>
      </c>
      <c r="D54" s="7" t="str">
        <f>IF(B54="","",IF('Ingoing substances'!R54="Yes",C54,""))</f>
        <v/>
      </c>
      <c r="E54" s="26" t="str">
        <f>IF(B54="","",C54*'Rinse-off - DID'!L54*1000/'Rinse-off - DID'!M54)</f>
        <v/>
      </c>
      <c r="F54" s="26" t="str">
        <f t="shared" si="0"/>
        <v/>
      </c>
      <c r="G54" s="26" t="str">
        <f>IF(OR('Ingoing substances'!I54="N",'Rinse-off - DID'!N54="R"),"",'Results 1&amp;2'!C54)</f>
        <v/>
      </c>
      <c r="H54" s="26" t="str">
        <f>IF(OR('Ingoing substances'!L54="N",'Rinse-off - DID'!O54="Y"),"",D54)</f>
        <v/>
      </c>
      <c r="I54" s="26" t="str">
        <f>IF(C54="","",(IF(OR('Ingoing substances'!R54="No",'Rinse-off - DID'!N54="R"),"",C54*1000/$D$59)))</f>
        <v/>
      </c>
      <c r="J54" s="26" t="str">
        <f>IF(C54="","",(IF(OR('Ingoing substances'!R54="No",'Rinse-off - DID'!O54="Y"),"",C54*1000/$D$59)))</f>
        <v/>
      </c>
    </row>
    <row r="55" spans="1:10">
      <c r="A55" s="6">
        <v>47</v>
      </c>
      <c r="B55" s="7" t="str">
        <f>'Rinse-off - DID'!B55</f>
        <v/>
      </c>
      <c r="C55" s="25" t="str">
        <f>IF(B55="","",'Rinse-off - DID'!G55)</f>
        <v/>
      </c>
      <c r="D55" s="7" t="str">
        <f>IF(B55="","",IF('Ingoing substances'!R55="Yes",C55,""))</f>
        <v/>
      </c>
      <c r="E55" s="26" t="str">
        <f>IF(B55="","",C55*'Rinse-off - DID'!L55*1000/'Rinse-off - DID'!M55)</f>
        <v/>
      </c>
      <c r="F55" s="26" t="str">
        <f t="shared" si="0"/>
        <v/>
      </c>
      <c r="G55" s="26" t="str">
        <f>IF(OR('Ingoing substances'!I55="N",'Rinse-off - DID'!N55="R"),"",'Results 1&amp;2'!C55)</f>
        <v/>
      </c>
      <c r="H55" s="26" t="str">
        <f>IF(OR('Ingoing substances'!L55="N",'Rinse-off - DID'!O55="Y"),"",D55)</f>
        <v/>
      </c>
      <c r="I55" s="26" t="str">
        <f>IF(C55="","",(IF(OR('Ingoing substances'!R55="No",'Rinse-off - DID'!N55="R"),"",C55*1000/$D$59)))</f>
        <v/>
      </c>
      <c r="J55" s="26" t="str">
        <f>IF(C55="","",(IF(OR('Ingoing substances'!R55="No",'Rinse-off - DID'!O55="Y"),"",C55*1000/$D$59)))</f>
        <v/>
      </c>
    </row>
    <row r="56" spans="1:10">
      <c r="A56" s="6">
        <v>48</v>
      </c>
      <c r="B56" s="7" t="str">
        <f>'Rinse-off - DID'!B56</f>
        <v/>
      </c>
      <c r="C56" s="25" t="str">
        <f>IF(B56="","",'Rinse-off - DID'!G56)</f>
        <v/>
      </c>
      <c r="D56" s="7" t="str">
        <f>IF(B56="","",IF('Ingoing substances'!R56="Yes",C56,""))</f>
        <v/>
      </c>
      <c r="E56" s="26" t="str">
        <f>IF(B56="","",C56*'Rinse-off - DID'!L56*1000/'Rinse-off - DID'!M56)</f>
        <v/>
      </c>
      <c r="F56" s="26" t="str">
        <f t="shared" si="0"/>
        <v/>
      </c>
      <c r="G56" s="26" t="str">
        <f>IF(OR('Ingoing substances'!I56="N",'Rinse-off - DID'!N56="R"),"",'Results 1&amp;2'!C56)</f>
        <v/>
      </c>
      <c r="H56" s="26" t="str">
        <f>IF(OR('Ingoing substances'!L56="N",'Rinse-off - DID'!O56="Y"),"",D56)</f>
        <v/>
      </c>
      <c r="I56" s="26" t="str">
        <f>IF(C56="","",(IF(OR('Ingoing substances'!R56="No",'Rinse-off - DID'!N56="R"),"",C56*1000/$D$59)))</f>
        <v/>
      </c>
      <c r="J56" s="26" t="str">
        <f>IF(C56="","",(IF(OR('Ingoing substances'!R56="No",'Rinse-off - DID'!O56="Y"),"",C56*1000/$D$59)))</f>
        <v/>
      </c>
    </row>
    <row r="57" spans="1:10">
      <c r="A57" s="6">
        <v>49</v>
      </c>
      <c r="B57" s="7" t="str">
        <f>'Rinse-off - DID'!B57</f>
        <v/>
      </c>
      <c r="C57" s="25" t="str">
        <f>IF(B57="","",'Rinse-off - DID'!G57)</f>
        <v/>
      </c>
      <c r="D57" s="7" t="str">
        <f>IF(B57="","",IF('Ingoing substances'!R57="Yes",C57,""))</f>
        <v/>
      </c>
      <c r="E57" s="26" t="str">
        <f>IF(B57="","",C57*'Rinse-off - DID'!L57*1000/'Rinse-off - DID'!M57)</f>
        <v/>
      </c>
      <c r="F57" s="26" t="str">
        <f t="shared" si="0"/>
        <v/>
      </c>
      <c r="G57" s="26" t="str">
        <f>IF(OR('Ingoing substances'!I57="N",'Rinse-off - DID'!N57="R"),"",'Results 1&amp;2'!C57)</f>
        <v/>
      </c>
      <c r="H57" s="26" t="str">
        <f>IF(OR('Ingoing substances'!L57="N",'Rinse-off - DID'!O57="Y"),"",D57)</f>
        <v/>
      </c>
      <c r="I57" s="26" t="str">
        <f>IF(C57="","",(IF(OR('Ingoing substances'!R57="No",'Rinse-off - DID'!N57="R"),"",C57*1000/$D$59)))</f>
        <v/>
      </c>
      <c r="J57" s="26" t="str">
        <f>IF(C57="","",(IF(OR('Ingoing substances'!R57="No",'Rinse-off - DID'!O57="Y"),"",C57*1000/$D$59)))</f>
        <v/>
      </c>
    </row>
    <row r="58" spans="1:10">
      <c r="A58" s="6">
        <v>50</v>
      </c>
      <c r="B58" s="195" t="str">
        <f>'Rinse-off - DID'!B58</f>
        <v/>
      </c>
      <c r="C58" s="196" t="str">
        <f>IF(B58="","",'Rinse-off - DID'!G58)</f>
        <v/>
      </c>
      <c r="D58" s="195" t="str">
        <f>IF(B58="","",IF('Ingoing substances'!R58="Yes",C58,""))</f>
        <v/>
      </c>
      <c r="E58" s="197" t="str">
        <f>IF(B58="","",C58*'Rinse-off - DID'!L58*1000/'Rinse-off - DID'!M58)</f>
        <v/>
      </c>
      <c r="F58" s="197" t="str">
        <f t="shared" si="0"/>
        <v/>
      </c>
      <c r="G58" s="197" t="str">
        <f>IF(OR('Ingoing substances'!I58="N",'Rinse-off - DID'!N58="R"),"",'Results 1&amp;2'!C58)</f>
        <v/>
      </c>
      <c r="H58" s="197" t="str">
        <f>IF(OR('Ingoing substances'!L58="N",'Rinse-off - DID'!O58="Y"),"",D58)</f>
        <v/>
      </c>
      <c r="I58" s="197" t="str">
        <f>IF(C58="","",(IF(OR('Ingoing substances'!R58="No",'Rinse-off - DID'!N58="R"),"",C58*1000/$D$59)))</f>
        <v/>
      </c>
      <c r="J58" s="197" t="str">
        <f>IF(C58="","",(IF(OR('Ingoing substances'!R58="No",'Rinse-off - DID'!O58="Y"),"",C58*1000/$D$59)))</f>
        <v/>
      </c>
    </row>
    <row r="59" spans="1:10" ht="15.75">
      <c r="B59" s="198" t="s">
        <v>26</v>
      </c>
      <c r="C59" s="199"/>
      <c r="D59" s="200">
        <f>SUM(D10:D58)</f>
        <v>0</v>
      </c>
      <c r="E59" s="200">
        <f>SUM(E10:E58)</f>
        <v>0</v>
      </c>
      <c r="F59" s="200">
        <f>SUM(F10:F58)</f>
        <v>0</v>
      </c>
      <c r="G59" s="200">
        <f t="shared" ref="G59:J59" si="1">SUM(G10:G58)</f>
        <v>0</v>
      </c>
      <c r="H59" s="200">
        <f t="shared" si="1"/>
        <v>0</v>
      </c>
      <c r="I59" s="200">
        <f t="shared" si="1"/>
        <v>0</v>
      </c>
      <c r="J59" s="200">
        <f t="shared" si="1"/>
        <v>0</v>
      </c>
    </row>
    <row r="60" spans="1:10" ht="15.75">
      <c r="E60" s="198" t="s">
        <v>524</v>
      </c>
      <c r="F60" s="234">
        <v>12000</v>
      </c>
      <c r="G60" s="234">
        <v>0</v>
      </c>
      <c r="H60" s="234">
        <v>0</v>
      </c>
      <c r="I60" s="234">
        <v>15</v>
      </c>
      <c r="J60" s="234">
        <v>15</v>
      </c>
    </row>
    <row r="61" spans="1:10" ht="15.75">
      <c r="E61" s="198" t="s">
        <v>525</v>
      </c>
      <c r="F61" s="234" t="str">
        <f>IF(OR(F60&gt;F59,F60=F59),"Ok","No ok")</f>
        <v>Ok</v>
      </c>
      <c r="G61" s="234" t="str">
        <f t="shared" ref="G61:J61" si="2">IF(OR(G60&gt;G59,G60=G59),"Ok","No ok")</f>
        <v>Ok</v>
      </c>
      <c r="H61" s="234" t="str">
        <f t="shared" si="2"/>
        <v>Ok</v>
      </c>
      <c r="I61" s="234" t="str">
        <f t="shared" si="2"/>
        <v>Ok</v>
      </c>
      <c r="J61" s="234" t="str">
        <f t="shared" si="2"/>
        <v>Ok</v>
      </c>
    </row>
    <row r="63" spans="1:10">
      <c r="B63" s="3" t="s">
        <v>534</v>
      </c>
    </row>
    <row r="64" spans="1:10">
      <c r="B64" s="316"/>
      <c r="C64" s="317"/>
      <c r="D64" s="317"/>
      <c r="E64" s="317"/>
      <c r="F64" s="317"/>
      <c r="G64" s="317"/>
      <c r="H64" s="318"/>
    </row>
    <row r="65" spans="2:8">
      <c r="B65" s="319"/>
      <c r="C65" s="320"/>
      <c r="D65" s="320"/>
      <c r="E65" s="320"/>
      <c r="F65" s="320"/>
      <c r="G65" s="320"/>
      <c r="H65" s="321"/>
    </row>
    <row r="66" spans="2:8">
      <c r="B66" s="319"/>
      <c r="C66" s="320"/>
      <c r="D66" s="320"/>
      <c r="E66" s="320"/>
      <c r="F66" s="320"/>
      <c r="G66" s="320"/>
      <c r="H66" s="321"/>
    </row>
    <row r="67" spans="2:8">
      <c r="B67" s="322"/>
      <c r="C67" s="323"/>
      <c r="D67" s="323"/>
      <c r="E67" s="323"/>
      <c r="F67" s="323"/>
      <c r="G67" s="323"/>
      <c r="H67" s="324"/>
    </row>
  </sheetData>
  <sheetProtection algorithmName="SHA-512" hashValue="+sMhgN1iSYb+AEA2d4svjcqfF3YsSrVRfZtpcplpgtzHXZY+OP4RhJ59vKwoTgSYEE12wzYjwwTTfrJn4M4hMA==" saltValue="1fBBuVULRKUeHyZY1hqojA==" spinCount="100000" sheet="1" selectLockedCells="1"/>
  <mergeCells count="5">
    <mergeCell ref="B64:H67"/>
    <mergeCell ref="B1:D1"/>
    <mergeCell ref="C2:D2"/>
    <mergeCell ref="C3:D3"/>
    <mergeCell ref="B7:B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1">
    <outlinePr showOutlineSymbols="0"/>
  </sheetPr>
  <dimension ref="A1:I62"/>
  <sheetViews>
    <sheetView showOutlineSymbols="0" topLeftCell="A19" zoomScale="85" zoomScaleNormal="85" workbookViewId="0">
      <selection activeCell="B59" sqref="B59:H62"/>
    </sheetView>
  </sheetViews>
  <sheetFormatPr defaultColWidth="11.42578125" defaultRowHeight="12.75"/>
  <cols>
    <col min="1" max="1" width="5.42578125" style="3" customWidth="1"/>
    <col min="2" max="2" width="30.7109375" style="3" customWidth="1"/>
    <col min="3" max="3" width="20.28515625" style="3" bestFit="1" customWidth="1"/>
    <col min="4" max="4" width="20.7109375" style="3" customWidth="1"/>
    <col min="5" max="5" width="4.28515625" style="3" customWidth="1"/>
    <col min="6" max="6" width="30.7109375" style="3" customWidth="1"/>
    <col min="7" max="7" width="20.28515625" style="3" bestFit="1" customWidth="1"/>
    <col min="8" max="8" width="20.7109375" style="3" customWidth="1"/>
    <col min="9" max="9" width="3.85546875" style="3" customWidth="1"/>
    <col min="10" max="10" width="30.7109375" style="3" customWidth="1"/>
    <col min="11" max="11" width="23.7109375" style="3" customWidth="1"/>
    <col min="12" max="12" width="25" style="3" customWidth="1"/>
    <col min="13" max="16384" width="11.42578125" style="3"/>
  </cols>
  <sheetData>
    <row r="1" spans="1:9">
      <c r="B1" s="330" t="s">
        <v>460</v>
      </c>
      <c r="C1" s="331"/>
      <c r="D1" s="331"/>
      <c r="E1" s="133"/>
      <c r="F1" s="352" t="s">
        <v>542</v>
      </c>
      <c r="G1" s="326"/>
      <c r="H1" s="326"/>
      <c r="I1" s="326"/>
    </row>
    <row r="2" spans="1:9">
      <c r="B2" s="132" t="s">
        <v>309</v>
      </c>
      <c r="C2" s="346">
        <f>'Product formulation'!C2</f>
        <v>0</v>
      </c>
      <c r="D2" s="347"/>
      <c r="E2" s="232"/>
      <c r="F2" s="352"/>
      <c r="G2" s="326"/>
      <c r="H2" s="326"/>
      <c r="I2" s="326"/>
    </row>
    <row r="3" spans="1:9">
      <c r="B3" s="132" t="s">
        <v>9</v>
      </c>
      <c r="C3" s="348" t="str">
        <f>'Product formulation'!C4</f>
        <v>Rinse-off products for animal care</v>
      </c>
      <c r="D3" s="349"/>
      <c r="E3" s="232"/>
      <c r="F3" s="352"/>
      <c r="G3" s="326"/>
      <c r="H3" s="326"/>
      <c r="I3" s="326"/>
    </row>
    <row r="5" spans="1:9" s="225" customFormat="1" ht="15.75">
      <c r="A5" s="225" t="s">
        <v>554</v>
      </c>
    </row>
    <row r="6" spans="1:9">
      <c r="C6" s="233"/>
    </row>
    <row r="7" spans="1:9">
      <c r="B7" s="356" t="s">
        <v>334</v>
      </c>
      <c r="C7" s="356"/>
      <c r="D7" s="12"/>
    </row>
    <row r="8" spans="1:9">
      <c r="B8" s="356" t="s">
        <v>528</v>
      </c>
      <c r="C8" s="356"/>
      <c r="D8" s="11"/>
    </row>
    <row r="9" spans="1:9" ht="28.5" customHeight="1">
      <c r="B9" s="356" t="s">
        <v>529</v>
      </c>
      <c r="C9" s="356"/>
      <c r="D9" s="7" t="str">
        <f>IF(OR(D13="",D7="",H13=""),"",(D13*D8/H13))</f>
        <v/>
      </c>
    </row>
    <row r="11" spans="1:9" s="235" customFormat="1" ht="15" customHeight="1">
      <c r="B11" s="353" t="s">
        <v>335</v>
      </c>
      <c r="C11" s="353"/>
      <c r="D11" s="353"/>
      <c r="F11" s="353" t="s">
        <v>346</v>
      </c>
      <c r="G11" s="353"/>
      <c r="H11" s="353"/>
    </row>
    <row r="12" spans="1:9" s="236" customFormat="1" ht="27.75" customHeight="1">
      <c r="B12" s="351" t="s">
        <v>530</v>
      </c>
      <c r="C12" s="351"/>
      <c r="D12" s="20"/>
      <c r="F12" s="351" t="s">
        <v>532</v>
      </c>
      <c r="G12" s="351"/>
      <c r="H12" s="20"/>
    </row>
    <row r="13" spans="1:9" s="236" customFormat="1" ht="18.75" customHeight="1">
      <c r="B13" s="351" t="s">
        <v>336</v>
      </c>
      <c r="C13" s="351"/>
      <c r="D13" s="20"/>
      <c r="F13" s="351" t="s">
        <v>336</v>
      </c>
      <c r="G13" s="351"/>
      <c r="H13" s="20"/>
    </row>
    <row r="14" spans="1:9" s="236" customFormat="1" ht="18.75" customHeight="1">
      <c r="B14" s="351" t="s">
        <v>337</v>
      </c>
      <c r="C14" s="351"/>
      <c r="D14" s="20"/>
      <c r="F14" s="351" t="s">
        <v>337</v>
      </c>
      <c r="G14" s="351"/>
      <c r="H14" s="20"/>
    </row>
    <row r="15" spans="1:9" s="236" customFormat="1" ht="18.75" customHeight="1">
      <c r="B15" s="351" t="s">
        <v>531</v>
      </c>
      <c r="C15" s="351"/>
      <c r="D15" s="20"/>
      <c r="F15" s="351" t="s">
        <v>531</v>
      </c>
      <c r="G15" s="351"/>
      <c r="H15" s="20"/>
    </row>
    <row r="16" spans="1:9" ht="38.25">
      <c r="B16" s="226" t="s">
        <v>338</v>
      </c>
      <c r="C16" s="226" t="s">
        <v>341</v>
      </c>
      <c r="D16" s="226" t="s">
        <v>340</v>
      </c>
      <c r="F16" s="226" t="s">
        <v>338</v>
      </c>
      <c r="G16" s="226" t="s">
        <v>341</v>
      </c>
      <c r="H16" s="226" t="s">
        <v>340</v>
      </c>
    </row>
    <row r="17" spans="2:8">
      <c r="B17" s="12"/>
      <c r="C17" s="249"/>
      <c r="D17" s="249"/>
      <c r="F17" s="12"/>
      <c r="G17" s="249"/>
      <c r="H17" s="249"/>
    </row>
    <row r="18" spans="2:8">
      <c r="B18" s="12"/>
      <c r="C18" s="249"/>
      <c r="D18" s="249"/>
      <c r="F18" s="12"/>
      <c r="G18" s="249"/>
      <c r="H18" s="249"/>
    </row>
    <row r="19" spans="2:8">
      <c r="B19" s="12"/>
      <c r="C19" s="249"/>
      <c r="D19" s="249"/>
      <c r="F19" s="12"/>
      <c r="G19" s="249"/>
      <c r="H19" s="249"/>
    </row>
    <row r="20" spans="2:8">
      <c r="B20" s="12"/>
      <c r="C20" s="249"/>
      <c r="D20" s="249"/>
      <c r="F20" s="12"/>
      <c r="G20" s="249"/>
      <c r="H20" s="249"/>
    </row>
    <row r="21" spans="2:8">
      <c r="B21" s="12"/>
      <c r="C21" s="249"/>
      <c r="D21" s="249"/>
      <c r="F21" s="12"/>
      <c r="G21" s="249"/>
      <c r="H21" s="249"/>
    </row>
    <row r="22" spans="2:8" ht="18.75" customHeight="1">
      <c r="B22" s="237" t="s">
        <v>26</v>
      </c>
      <c r="C22" s="250">
        <f>SUM(C17:C21)</f>
        <v>0</v>
      </c>
      <c r="D22" s="250">
        <f>SUM(D17:D21)</f>
        <v>0</v>
      </c>
      <c r="F22" s="237" t="s">
        <v>26</v>
      </c>
      <c r="G22" s="250">
        <f>SUM(G17:G21)</f>
        <v>0</v>
      </c>
      <c r="H22" s="250">
        <f>SUM(H17:H21)</f>
        <v>0</v>
      </c>
    </row>
    <row r="23" spans="2:8" ht="38.25">
      <c r="B23" s="226" t="s">
        <v>339</v>
      </c>
      <c r="C23" s="226" t="s">
        <v>342</v>
      </c>
      <c r="D23" s="226" t="s">
        <v>340</v>
      </c>
      <c r="F23" s="226" t="s">
        <v>339</v>
      </c>
      <c r="G23" s="226" t="s">
        <v>342</v>
      </c>
      <c r="H23" s="226" t="s">
        <v>340</v>
      </c>
    </row>
    <row r="24" spans="2:8">
      <c r="B24" s="12"/>
      <c r="C24" s="249"/>
      <c r="D24" s="249"/>
      <c r="F24" s="12"/>
      <c r="G24" s="249"/>
      <c r="H24" s="249"/>
    </row>
    <row r="25" spans="2:8">
      <c r="B25" s="12"/>
      <c r="C25" s="249"/>
      <c r="D25" s="249"/>
      <c r="F25" s="12"/>
      <c r="G25" s="249"/>
      <c r="H25" s="249"/>
    </row>
    <row r="26" spans="2:8">
      <c r="B26" s="12"/>
      <c r="C26" s="249"/>
      <c r="D26" s="249"/>
      <c r="F26" s="12"/>
      <c r="G26" s="249"/>
      <c r="H26" s="249"/>
    </row>
    <row r="27" spans="2:8">
      <c r="B27" s="12"/>
      <c r="C27" s="249"/>
      <c r="D27" s="249"/>
      <c r="F27" s="12"/>
      <c r="G27" s="249"/>
      <c r="H27" s="249"/>
    </row>
    <row r="28" spans="2:8">
      <c r="B28" s="12"/>
      <c r="C28" s="249"/>
      <c r="D28" s="249"/>
      <c r="F28" s="12"/>
      <c r="G28" s="249"/>
      <c r="H28" s="249"/>
    </row>
    <row r="29" spans="2:8" ht="18.75" customHeight="1">
      <c r="B29" s="237" t="s">
        <v>26</v>
      </c>
      <c r="C29" s="250">
        <f>SUM(C24:C28)</f>
        <v>0</v>
      </c>
      <c r="D29" s="250">
        <f>SUM(D24:D28)</f>
        <v>0</v>
      </c>
      <c r="F29" s="237" t="s">
        <v>26</v>
      </c>
      <c r="G29" s="250">
        <f>SUM(G24:G28)</f>
        <v>0</v>
      </c>
      <c r="H29" s="250">
        <f>SUM(H24:H28)</f>
        <v>0</v>
      </c>
    </row>
    <row r="30" spans="2:8" ht="25.5">
      <c r="B30" s="238" t="s">
        <v>345</v>
      </c>
      <c r="C30" s="250">
        <f>IF($D$15="",0,C29/$D$15)</f>
        <v>0</v>
      </c>
      <c r="D30" s="250">
        <f>IF($D$15="",0,D29/$D$15)</f>
        <v>0</v>
      </c>
      <c r="F30" s="238" t="s">
        <v>345</v>
      </c>
      <c r="G30" s="250">
        <f>IF($D$15="",0,G29/$D$15)</f>
        <v>0</v>
      </c>
      <c r="H30" s="250">
        <f>IF($D$15="",0,H29/$D$15)</f>
        <v>0</v>
      </c>
    </row>
    <row r="31" spans="2:8" s="236" customFormat="1" ht="18.75" customHeight="1">
      <c r="B31" s="351" t="s">
        <v>343</v>
      </c>
      <c r="C31" s="351"/>
      <c r="D31" s="251">
        <f>C22+C30</f>
        <v>0</v>
      </c>
      <c r="F31" s="351" t="s">
        <v>348</v>
      </c>
      <c r="G31" s="351"/>
      <c r="H31" s="251">
        <f>G22+G30</f>
        <v>0</v>
      </c>
    </row>
    <row r="32" spans="2:8" s="236" customFormat="1" ht="18.75" customHeight="1">
      <c r="B32" s="351" t="s">
        <v>344</v>
      </c>
      <c r="C32" s="351"/>
      <c r="D32" s="251">
        <f>D22+D30</f>
        <v>0</v>
      </c>
      <c r="F32" s="351" t="s">
        <v>349</v>
      </c>
      <c r="G32" s="351"/>
      <c r="H32" s="251">
        <f>H22+H30</f>
        <v>0</v>
      </c>
    </row>
    <row r="34" spans="1:8">
      <c r="C34" s="239" t="s">
        <v>347</v>
      </c>
      <c r="D34" s="240" t="str">
        <f>IF(D12="","",(IF(D7="Yes",((D31+(H31*D9)+D32+(H32*D9))/(D12+(H12*D9))),((D31+D32)/D12))))</f>
        <v/>
      </c>
      <c r="G34" s="239" t="s">
        <v>347</v>
      </c>
      <c r="H34" s="240" t="str">
        <f>IF(H12="","",(H31+H32)/H12)</f>
        <v/>
      </c>
    </row>
    <row r="35" spans="1:8">
      <c r="C35" s="201" t="s">
        <v>524</v>
      </c>
      <c r="D35" s="241">
        <v>0.2</v>
      </c>
      <c r="G35" s="201" t="s">
        <v>524</v>
      </c>
      <c r="H35" s="241">
        <v>0.2</v>
      </c>
    </row>
    <row r="36" spans="1:8">
      <c r="C36" s="202" t="s">
        <v>525</v>
      </c>
      <c r="D36" s="241" t="str">
        <f>IF(OR(D34&lt;D35,D35=D34),"Ok","No ok")</f>
        <v>No ok</v>
      </c>
      <c r="G36" s="202" t="s">
        <v>525</v>
      </c>
      <c r="H36" s="241" t="str">
        <f>IF(OR(H34&lt;H35,H35=H34),"Ok","No ok")</f>
        <v>No ok</v>
      </c>
    </row>
    <row r="38" spans="1:8" s="225" customFormat="1" ht="15.75">
      <c r="A38" s="225" t="s">
        <v>555</v>
      </c>
    </row>
    <row r="40" spans="1:8" ht="18.75" customHeight="1">
      <c r="B40" s="351" t="s">
        <v>350</v>
      </c>
      <c r="C40" s="351"/>
      <c r="D40" s="253">
        <f>C22+D12</f>
        <v>0</v>
      </c>
      <c r="F40" s="351" t="s">
        <v>350</v>
      </c>
      <c r="G40" s="351"/>
      <c r="H40" s="253">
        <f>G22+H12</f>
        <v>0</v>
      </c>
    </row>
    <row r="41" spans="1:8" ht="28.5" customHeight="1">
      <c r="B41" s="351" t="s">
        <v>351</v>
      </c>
      <c r="C41" s="351"/>
      <c r="D41" s="20"/>
      <c r="F41" s="351" t="s">
        <v>351</v>
      </c>
      <c r="G41" s="351"/>
      <c r="H41" s="20"/>
    </row>
    <row r="42" spans="1:8" ht="18.75" customHeight="1">
      <c r="B42" s="351" t="s">
        <v>352</v>
      </c>
      <c r="C42" s="351"/>
      <c r="D42" s="253">
        <f>C22</f>
        <v>0</v>
      </c>
      <c r="F42" s="351" t="s">
        <v>352</v>
      </c>
      <c r="G42" s="351"/>
      <c r="H42" s="253">
        <f>G22</f>
        <v>0</v>
      </c>
    </row>
    <row r="44" spans="1:8">
      <c r="C44" s="239" t="s">
        <v>353</v>
      </c>
      <c r="D44" s="240" t="str">
        <f>IF(D41="","",(((D41-D42)/(D40-D42))*100))</f>
        <v/>
      </c>
      <c r="G44" s="239" t="s">
        <v>353</v>
      </c>
      <c r="H44" s="240" t="str">
        <f>IF(H41="","",(((H41-H42)/(H40-H42))*100))</f>
        <v/>
      </c>
    </row>
    <row r="45" spans="1:8">
      <c r="C45" s="201" t="s">
        <v>524</v>
      </c>
      <c r="D45" s="241">
        <v>5</v>
      </c>
      <c r="G45" s="201" t="s">
        <v>524</v>
      </c>
      <c r="H45" s="241" t="str">
        <f>IF(G3="Rinse-off product",5,IF(G3="Leave-on product",10,"-"))</f>
        <v>-</v>
      </c>
    </row>
    <row r="46" spans="1:8">
      <c r="C46" s="202" t="s">
        <v>525</v>
      </c>
      <c r="D46" s="241" t="str">
        <f>IF(OR(D44&lt;D45,D45=D44),"Ok","No ok")</f>
        <v>No ok</v>
      </c>
      <c r="G46" s="202" t="s">
        <v>525</v>
      </c>
      <c r="H46" s="241" t="str">
        <f>IF(OR(H44&lt;H45,H45=H44),"Ok","No ok")</f>
        <v>Ok</v>
      </c>
    </row>
    <row r="48" spans="1:8" s="225" customFormat="1" ht="15.75">
      <c r="A48" s="225" t="s">
        <v>556</v>
      </c>
    </row>
    <row r="50" spans="2:8">
      <c r="B50" s="350" t="s">
        <v>335</v>
      </c>
      <c r="C50" s="350"/>
      <c r="D50" s="350"/>
      <c r="F50" s="350" t="s">
        <v>346</v>
      </c>
      <c r="G50" s="350"/>
      <c r="H50" s="350"/>
    </row>
    <row r="51" spans="2:8">
      <c r="B51" s="226" t="s">
        <v>384</v>
      </c>
      <c r="C51" s="354" t="s">
        <v>535</v>
      </c>
      <c r="D51" s="354"/>
      <c r="F51" s="226" t="s">
        <v>384</v>
      </c>
      <c r="G51" s="354" t="s">
        <v>535</v>
      </c>
      <c r="H51" s="354"/>
    </row>
    <row r="52" spans="2:8">
      <c r="B52" s="252" t="s">
        <v>379</v>
      </c>
      <c r="C52" s="355"/>
      <c r="D52" s="355"/>
      <c r="F52" s="252" t="s">
        <v>379</v>
      </c>
      <c r="G52" s="355"/>
      <c r="H52" s="355"/>
    </row>
    <row r="53" spans="2:8" ht="12.95" customHeight="1">
      <c r="B53" s="252" t="s">
        <v>380</v>
      </c>
      <c r="C53" s="355"/>
      <c r="D53" s="355"/>
      <c r="F53" s="252" t="s">
        <v>380</v>
      </c>
      <c r="G53" s="355"/>
      <c r="H53" s="355"/>
    </row>
    <row r="54" spans="2:8">
      <c r="B54" s="252" t="s">
        <v>381</v>
      </c>
      <c r="C54" s="355"/>
      <c r="D54" s="355"/>
      <c r="F54" s="252" t="s">
        <v>381</v>
      </c>
      <c r="G54" s="355"/>
      <c r="H54" s="355"/>
    </row>
    <row r="55" spans="2:8">
      <c r="B55" s="252" t="s">
        <v>382</v>
      </c>
      <c r="C55" s="355"/>
      <c r="D55" s="355"/>
      <c r="F55" s="252" t="s">
        <v>382</v>
      </c>
      <c r="G55" s="355"/>
      <c r="H55" s="355"/>
    </row>
    <row r="56" spans="2:8">
      <c r="B56" s="252" t="s">
        <v>383</v>
      </c>
      <c r="C56" s="355"/>
      <c r="D56" s="355"/>
      <c r="F56" s="252" t="s">
        <v>383</v>
      </c>
      <c r="G56" s="355"/>
      <c r="H56" s="355"/>
    </row>
    <row r="58" spans="2:8">
      <c r="B58" s="3" t="s">
        <v>534</v>
      </c>
    </row>
    <row r="59" spans="2:8">
      <c r="B59" s="316"/>
      <c r="C59" s="317"/>
      <c r="D59" s="317"/>
      <c r="E59" s="317"/>
      <c r="F59" s="317"/>
      <c r="G59" s="317"/>
      <c r="H59" s="318"/>
    </row>
    <row r="60" spans="2:8">
      <c r="B60" s="319"/>
      <c r="C60" s="320"/>
      <c r="D60" s="320"/>
      <c r="E60" s="320"/>
      <c r="F60" s="320"/>
      <c r="G60" s="320"/>
      <c r="H60" s="321"/>
    </row>
    <row r="61" spans="2:8">
      <c r="B61" s="319"/>
      <c r="C61" s="320"/>
      <c r="D61" s="320"/>
      <c r="E61" s="320"/>
      <c r="F61" s="320"/>
      <c r="G61" s="320"/>
      <c r="H61" s="321"/>
    </row>
    <row r="62" spans="2:8">
      <c r="B62" s="322"/>
      <c r="C62" s="323"/>
      <c r="D62" s="323"/>
      <c r="E62" s="323"/>
      <c r="F62" s="323"/>
      <c r="G62" s="323"/>
      <c r="H62" s="324"/>
    </row>
  </sheetData>
  <sheetProtection algorithmName="SHA-512" hashValue="HdN3uVhxoM3zU9QpPuvLyJE/JZl9smoQPzYKzS8wkmLYXcSD+Kn95mh/KeT6EpfS0EJGHBtaBbJ/0xgTYxIChQ==" saltValue="uQW/gdBq0VFOzNcXIpOtsQ==" spinCount="100000" sheet="1" selectLockedCells="1"/>
  <mergeCells count="43">
    <mergeCell ref="B40:C40"/>
    <mergeCell ref="B15:C15"/>
    <mergeCell ref="B31:C31"/>
    <mergeCell ref="B32:C32"/>
    <mergeCell ref="B1:D1"/>
    <mergeCell ref="C2:D2"/>
    <mergeCell ref="C3:D3"/>
    <mergeCell ref="B7:C7"/>
    <mergeCell ref="B14:C14"/>
    <mergeCell ref="B8:C8"/>
    <mergeCell ref="B9:C9"/>
    <mergeCell ref="B12:C12"/>
    <mergeCell ref="B13:C13"/>
    <mergeCell ref="B11:D11"/>
    <mergeCell ref="B59:H62"/>
    <mergeCell ref="C51:D51"/>
    <mergeCell ref="C52:D52"/>
    <mergeCell ref="C53:D53"/>
    <mergeCell ref="C54:D54"/>
    <mergeCell ref="C55:D55"/>
    <mergeCell ref="C56:D56"/>
    <mergeCell ref="G51:H51"/>
    <mergeCell ref="G52:H52"/>
    <mergeCell ref="G53:H53"/>
    <mergeCell ref="G54:H54"/>
    <mergeCell ref="G55:H55"/>
    <mergeCell ref="G56:H56"/>
    <mergeCell ref="B50:D50"/>
    <mergeCell ref="F50:H50"/>
    <mergeCell ref="B41:C41"/>
    <mergeCell ref="B42:C42"/>
    <mergeCell ref="F1:F3"/>
    <mergeCell ref="G1:I3"/>
    <mergeCell ref="F40:G40"/>
    <mergeCell ref="F41:G41"/>
    <mergeCell ref="F42:G42"/>
    <mergeCell ref="F31:G31"/>
    <mergeCell ref="F32:G32"/>
    <mergeCell ref="F11:H11"/>
    <mergeCell ref="F12:G12"/>
    <mergeCell ref="F13:G13"/>
    <mergeCell ref="F14:G14"/>
    <mergeCell ref="F15:G15"/>
  </mergeCells>
  <conditionalFormatting sqref="C17:D21">
    <cfRule type="expression" dxfId="56" priority="7">
      <formula>ISBLANK($B17)</formula>
    </cfRule>
  </conditionalFormatting>
  <conditionalFormatting sqref="C24:D28">
    <cfRule type="expression" dxfId="55" priority="6">
      <formula>ISBLANK($B24)</formula>
    </cfRule>
  </conditionalFormatting>
  <conditionalFormatting sqref="G17:H21">
    <cfRule type="expression" dxfId="54" priority="5">
      <formula>ISBLANK($F17)</formula>
    </cfRule>
  </conditionalFormatting>
  <conditionalFormatting sqref="G24:H28">
    <cfRule type="expression" dxfId="53" priority="4">
      <formula>ISBLANK($F24)</formula>
    </cfRule>
  </conditionalFormatting>
  <conditionalFormatting sqref="D8">
    <cfRule type="expression" dxfId="52" priority="1">
      <formula>$D$7="Yes"</formula>
    </cfRule>
  </conditionalFormatting>
  <dataValidations count="1">
    <dataValidation type="list" allowBlank="1" showInputMessage="1" showErrorMessage="1" sqref="D7 H14 D14" xr:uid="{00000000-0002-0000-0500-000000000000}">
      <formula1>"Yes, 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outlinePr showOutlineSymbols="0"/>
  </sheetPr>
  <dimension ref="A1:K65"/>
  <sheetViews>
    <sheetView showZeros="0" showOutlineSymbols="0" topLeftCell="A46" zoomScale="85" zoomScaleNormal="85" workbookViewId="0">
      <selection activeCell="B62" sqref="B62:I65"/>
    </sheetView>
  </sheetViews>
  <sheetFormatPr defaultColWidth="11.42578125" defaultRowHeight="12.75"/>
  <cols>
    <col min="1" max="1" width="5.42578125" style="3" customWidth="1"/>
    <col min="2" max="4" width="30.7109375" style="3" customWidth="1"/>
    <col min="5" max="5" width="20.28515625" style="3" bestFit="1" customWidth="1"/>
    <col min="6" max="6" width="20.28515625" style="3" customWidth="1"/>
    <col min="7" max="8" width="20.7109375" style="3" customWidth="1"/>
    <col min="9" max="9" width="23" style="3" customWidth="1"/>
    <col min="10" max="10" width="3" style="3" customWidth="1"/>
    <col min="11" max="11" width="12.140625" style="3" customWidth="1"/>
    <col min="12" max="16384" width="11.42578125" style="3"/>
  </cols>
  <sheetData>
    <row r="1" spans="1:11">
      <c r="B1" s="330" t="s">
        <v>460</v>
      </c>
      <c r="C1" s="331"/>
      <c r="D1" s="331"/>
      <c r="E1" s="133"/>
    </row>
    <row r="2" spans="1:11">
      <c r="B2" s="132" t="s">
        <v>309</v>
      </c>
      <c r="C2" s="346">
        <f>'Product formulation'!C2</f>
        <v>0</v>
      </c>
      <c r="D2" s="347"/>
      <c r="E2" s="232"/>
    </row>
    <row r="3" spans="1:11">
      <c r="B3" s="132" t="s">
        <v>9</v>
      </c>
      <c r="C3" s="348" t="str">
        <f>'Product formulation'!C4</f>
        <v>Rinse-off products for animal care</v>
      </c>
      <c r="D3" s="349"/>
      <c r="E3" s="232"/>
    </row>
    <row r="5" spans="1:11" s="225" customFormat="1" ht="15.75">
      <c r="A5" s="225" t="s">
        <v>557</v>
      </c>
    </row>
    <row r="7" spans="1:11" s="2" customFormat="1" ht="25.5">
      <c r="A7" s="5"/>
      <c r="B7" s="325" t="s">
        <v>397</v>
      </c>
      <c r="C7" s="325" t="s">
        <v>0</v>
      </c>
      <c r="D7" s="325" t="s">
        <v>12</v>
      </c>
      <c r="E7" s="221" t="s">
        <v>17</v>
      </c>
      <c r="F7" s="221" t="s">
        <v>411</v>
      </c>
      <c r="G7" s="343" t="s">
        <v>325</v>
      </c>
      <c r="H7" s="345"/>
      <c r="I7" s="333" t="s">
        <v>330</v>
      </c>
      <c r="J7" s="3"/>
      <c r="K7" s="242"/>
    </row>
    <row r="8" spans="1:11" s="2" customFormat="1" ht="33.75">
      <c r="A8" s="5"/>
      <c r="B8" s="325"/>
      <c r="C8" s="325"/>
      <c r="D8" s="325"/>
      <c r="E8" s="226" t="s">
        <v>7</v>
      </c>
      <c r="F8" s="226" t="s">
        <v>14</v>
      </c>
      <c r="G8" s="226" t="s">
        <v>14</v>
      </c>
      <c r="H8" s="227" t="s">
        <v>455</v>
      </c>
      <c r="I8" s="334"/>
      <c r="J8" s="3"/>
      <c r="K8" s="3"/>
    </row>
    <row r="9" spans="1:11">
      <c r="A9" s="6">
        <v>1</v>
      </c>
      <c r="B9" s="25" t="s">
        <v>11</v>
      </c>
      <c r="C9" s="25"/>
      <c r="D9" s="25"/>
      <c r="E9" s="25">
        <f>'Rinse-off - DID'!G9</f>
        <v>0</v>
      </c>
      <c r="F9" s="10"/>
      <c r="G9" s="10"/>
      <c r="H9" s="10"/>
      <c r="I9" s="10"/>
    </row>
    <row r="10" spans="1:11">
      <c r="A10" s="6">
        <v>2</v>
      </c>
      <c r="B10" s="7" t="str">
        <f>IF('Ingoing substances'!S10="Yes",'Product formulation'!B9,"")</f>
        <v/>
      </c>
      <c r="C10" s="7" t="str">
        <f>IF('Ingoing substances'!S10="Yes",'Product formulation'!C9,"")</f>
        <v/>
      </c>
      <c r="D10" s="7" t="str">
        <f>IF('Ingoing substances'!S10="Yes",'Rinse-off - DID'!B10,"")</f>
        <v/>
      </c>
      <c r="E10" s="25" t="str">
        <f>IF('Ingoing substances'!S10="Yes",'Rinse-off - DID'!G10,"")</f>
        <v/>
      </c>
      <c r="F10" s="11"/>
      <c r="G10" s="10"/>
      <c r="H10" s="10" t="str">
        <f>IF(AND(OR(F10="Palm pol",F10="Palm kernel oil"),G10="Mass balance"),"Certified before 2025","")</f>
        <v/>
      </c>
      <c r="I10" s="12"/>
    </row>
    <row r="11" spans="1:11">
      <c r="A11" s="6">
        <v>3</v>
      </c>
      <c r="B11" s="7" t="str">
        <f>IF('Ingoing substances'!S11="Yes",'Product formulation'!B10,"")</f>
        <v/>
      </c>
      <c r="C11" s="7" t="str">
        <f>IF('Ingoing substances'!S11="Yes",'Product formulation'!C10,"")</f>
        <v/>
      </c>
      <c r="D11" s="7" t="str">
        <f>IF('Ingoing substances'!S11="Yes",'Rinse-off - DID'!B11,"")</f>
        <v/>
      </c>
      <c r="E11" s="25" t="str">
        <f>IF('Ingoing substances'!S11="Yes",'Rinse-off - DID'!G11,"")</f>
        <v/>
      </c>
      <c r="F11" s="10"/>
      <c r="G11" s="10"/>
      <c r="H11" s="10" t="str">
        <f t="shared" ref="H11:H58" si="0">IF(AND(OR(F11="Palm pol",F11="Palm kernel oil"),G11="Mass balance"),"Certified before 2025","")</f>
        <v/>
      </c>
      <c r="I11" s="12"/>
    </row>
    <row r="12" spans="1:11">
      <c r="A12" s="6">
        <v>4</v>
      </c>
      <c r="B12" s="7" t="str">
        <f>IF('Ingoing substances'!S12="Yes",'Product formulation'!B11,"")</f>
        <v/>
      </c>
      <c r="C12" s="7" t="str">
        <f>IF('Ingoing substances'!S12="Yes",'Product formulation'!C11,"")</f>
        <v/>
      </c>
      <c r="D12" s="7" t="str">
        <f>IF('Ingoing substances'!S12="Yes",'Rinse-off - DID'!B12,"")</f>
        <v/>
      </c>
      <c r="E12" s="25" t="str">
        <f>IF('Ingoing substances'!S12="Yes",'Rinse-off - DID'!G12,"")</f>
        <v/>
      </c>
      <c r="F12" s="10"/>
      <c r="G12" s="10"/>
      <c r="H12" s="10" t="str">
        <f t="shared" si="0"/>
        <v/>
      </c>
      <c r="I12" s="12"/>
    </row>
    <row r="13" spans="1:11">
      <c r="A13" s="6">
        <v>5</v>
      </c>
      <c r="B13" s="7" t="str">
        <f>IF('Ingoing substances'!S13="Yes",'Product formulation'!B12,"")</f>
        <v/>
      </c>
      <c r="C13" s="7" t="str">
        <f>IF('Ingoing substances'!S13="Yes",'Product formulation'!C12,"")</f>
        <v/>
      </c>
      <c r="D13" s="7" t="str">
        <f>IF('Ingoing substances'!S13="Yes",'Rinse-off - DID'!B13,"")</f>
        <v/>
      </c>
      <c r="E13" s="25" t="str">
        <f>IF('Ingoing substances'!S13="Yes",'Rinse-off - DID'!G13,"")</f>
        <v/>
      </c>
      <c r="F13" s="10"/>
      <c r="G13" s="10"/>
      <c r="H13" s="10" t="str">
        <f t="shared" si="0"/>
        <v/>
      </c>
      <c r="I13" s="12"/>
    </row>
    <row r="14" spans="1:11">
      <c r="A14" s="6">
        <v>6</v>
      </c>
      <c r="B14" s="7" t="str">
        <f>IF('Ingoing substances'!S14="Yes",'Product formulation'!B13,"")</f>
        <v/>
      </c>
      <c r="C14" s="7" t="str">
        <f>IF('Ingoing substances'!S14="Yes",'Product formulation'!C13,"")</f>
        <v/>
      </c>
      <c r="D14" s="7" t="str">
        <f>IF('Ingoing substances'!S14="Yes",'Rinse-off - DID'!B14,"")</f>
        <v/>
      </c>
      <c r="E14" s="25" t="str">
        <f>IF('Ingoing substances'!S14="Yes",'Rinse-off - DID'!G14,"")</f>
        <v/>
      </c>
      <c r="F14" s="10"/>
      <c r="G14" s="10"/>
      <c r="H14" s="10" t="str">
        <f t="shared" si="0"/>
        <v/>
      </c>
      <c r="I14" s="12"/>
    </row>
    <row r="15" spans="1:11">
      <c r="A15" s="6">
        <v>7</v>
      </c>
      <c r="B15" s="7" t="str">
        <f>IF('Ingoing substances'!S15="Yes",'Product formulation'!B14,"")</f>
        <v/>
      </c>
      <c r="C15" s="7" t="str">
        <f>IF('Ingoing substances'!S15="Yes",'Product formulation'!C14,"")</f>
        <v/>
      </c>
      <c r="D15" s="7" t="str">
        <f>IF('Ingoing substances'!S15="Yes",'Rinse-off - DID'!B15,"")</f>
        <v/>
      </c>
      <c r="E15" s="25" t="str">
        <f>IF('Ingoing substances'!S15="Yes",'Rinse-off - DID'!G15,"")</f>
        <v/>
      </c>
      <c r="F15" s="10"/>
      <c r="G15" s="10"/>
      <c r="H15" s="10" t="str">
        <f t="shared" si="0"/>
        <v/>
      </c>
      <c r="I15" s="12"/>
    </row>
    <row r="16" spans="1:11">
      <c r="A16" s="6">
        <v>8</v>
      </c>
      <c r="B16" s="7" t="str">
        <f>IF('Ingoing substances'!S16="Yes",'Product formulation'!B15,"")</f>
        <v/>
      </c>
      <c r="C16" s="7" t="str">
        <f>IF('Ingoing substances'!S16="Yes",'Product formulation'!C15,"")</f>
        <v/>
      </c>
      <c r="D16" s="7" t="str">
        <f>IF('Ingoing substances'!S16="Yes",'Rinse-off - DID'!B16,"")</f>
        <v/>
      </c>
      <c r="E16" s="25" t="str">
        <f>IF('Ingoing substances'!S16="Yes",'Rinse-off - DID'!G16,"")</f>
        <v/>
      </c>
      <c r="F16" s="10"/>
      <c r="G16" s="10"/>
      <c r="H16" s="10" t="str">
        <f t="shared" si="0"/>
        <v/>
      </c>
      <c r="I16" s="12"/>
    </row>
    <row r="17" spans="1:9">
      <c r="A17" s="6">
        <v>9</v>
      </c>
      <c r="B17" s="7" t="str">
        <f>IF('Ingoing substances'!S17="Yes",'Product formulation'!B16,"")</f>
        <v/>
      </c>
      <c r="C17" s="7" t="str">
        <f>IF('Ingoing substances'!S17="Yes",'Product formulation'!C16,"")</f>
        <v/>
      </c>
      <c r="D17" s="7" t="str">
        <f>IF('Ingoing substances'!S17="Yes",'Rinse-off - DID'!B17,"")</f>
        <v/>
      </c>
      <c r="E17" s="25" t="str">
        <f>IF('Ingoing substances'!S17="Yes",'Rinse-off - DID'!G17,"")</f>
        <v/>
      </c>
      <c r="F17" s="10"/>
      <c r="G17" s="10"/>
      <c r="H17" s="10" t="str">
        <f t="shared" si="0"/>
        <v/>
      </c>
      <c r="I17" s="12"/>
    </row>
    <row r="18" spans="1:9">
      <c r="A18" s="6">
        <v>10</v>
      </c>
      <c r="B18" s="7" t="str">
        <f>IF('Ingoing substances'!S18="Yes",'Product formulation'!B17,"")</f>
        <v/>
      </c>
      <c r="C18" s="7" t="str">
        <f>IF('Ingoing substances'!S18="Yes",'Product formulation'!C17,"")</f>
        <v/>
      </c>
      <c r="D18" s="7" t="str">
        <f>IF('Ingoing substances'!S18="Yes",'Rinse-off - DID'!B18,"")</f>
        <v/>
      </c>
      <c r="E18" s="25" t="str">
        <f>IF('Ingoing substances'!S18="Yes",'Rinse-off - DID'!G18,"")</f>
        <v/>
      </c>
      <c r="F18" s="10"/>
      <c r="G18" s="10"/>
      <c r="H18" s="10" t="str">
        <f t="shared" si="0"/>
        <v/>
      </c>
      <c r="I18" s="12"/>
    </row>
    <row r="19" spans="1:9">
      <c r="A19" s="6">
        <v>11</v>
      </c>
      <c r="B19" s="7" t="str">
        <f>IF('Ingoing substances'!S19="Yes",'Product formulation'!B18,"")</f>
        <v/>
      </c>
      <c r="C19" s="7" t="str">
        <f>IF('Ingoing substances'!S19="Yes",'Product formulation'!C18,"")</f>
        <v/>
      </c>
      <c r="D19" s="7" t="str">
        <f>IF('Ingoing substances'!S19="Yes",'Rinse-off - DID'!B19,"")</f>
        <v/>
      </c>
      <c r="E19" s="25" t="str">
        <f>IF('Ingoing substances'!S19="Yes",'Rinse-off - DID'!G19,"")</f>
        <v/>
      </c>
      <c r="F19" s="10"/>
      <c r="G19" s="10"/>
      <c r="H19" s="10" t="str">
        <f t="shared" si="0"/>
        <v/>
      </c>
      <c r="I19" s="12"/>
    </row>
    <row r="20" spans="1:9">
      <c r="A20" s="6">
        <v>12</v>
      </c>
      <c r="B20" s="7" t="str">
        <f>IF('Ingoing substances'!S20="Yes",'Product formulation'!B19,"")</f>
        <v/>
      </c>
      <c r="C20" s="7" t="str">
        <f>IF('Ingoing substances'!S20="Yes",'Product formulation'!C19,"")</f>
        <v/>
      </c>
      <c r="D20" s="7" t="str">
        <f>IF('Ingoing substances'!S20="Yes",'Rinse-off - DID'!B20,"")</f>
        <v/>
      </c>
      <c r="E20" s="25" t="str">
        <f>IF('Ingoing substances'!S20="Yes",'Rinse-off - DID'!G20,"")</f>
        <v/>
      </c>
      <c r="F20" s="10"/>
      <c r="G20" s="10"/>
      <c r="H20" s="10" t="str">
        <f t="shared" si="0"/>
        <v/>
      </c>
      <c r="I20" s="12"/>
    </row>
    <row r="21" spans="1:9">
      <c r="A21" s="6">
        <v>13</v>
      </c>
      <c r="B21" s="7" t="str">
        <f>IF('Ingoing substances'!S21="Yes",'Product formulation'!B20,"")</f>
        <v/>
      </c>
      <c r="C21" s="7" t="str">
        <f>IF('Ingoing substances'!S21="Yes",'Product formulation'!C20,"")</f>
        <v/>
      </c>
      <c r="D21" s="7" t="str">
        <f>IF('Ingoing substances'!S21="Yes",'Rinse-off - DID'!B21,"")</f>
        <v/>
      </c>
      <c r="E21" s="25" t="str">
        <f>IF('Ingoing substances'!S21="Yes",'Rinse-off - DID'!G21,"")</f>
        <v/>
      </c>
      <c r="F21" s="10"/>
      <c r="G21" s="10"/>
      <c r="H21" s="10" t="str">
        <f t="shared" si="0"/>
        <v/>
      </c>
      <c r="I21" s="12"/>
    </row>
    <row r="22" spans="1:9">
      <c r="A22" s="6">
        <v>14</v>
      </c>
      <c r="B22" s="7" t="str">
        <f>IF('Ingoing substances'!S22="Yes",'Product formulation'!B21,"")</f>
        <v/>
      </c>
      <c r="C22" s="7" t="str">
        <f>IF('Ingoing substances'!S22="Yes",'Product formulation'!C21,"")</f>
        <v/>
      </c>
      <c r="D22" s="7" t="str">
        <f>IF('Ingoing substances'!S22="Yes",'Rinse-off - DID'!B22,"")</f>
        <v/>
      </c>
      <c r="E22" s="25" t="str">
        <f>IF('Ingoing substances'!S22="Yes",'Rinse-off - DID'!G22,"")</f>
        <v/>
      </c>
      <c r="F22" s="10"/>
      <c r="G22" s="10"/>
      <c r="H22" s="10" t="str">
        <f t="shared" si="0"/>
        <v/>
      </c>
      <c r="I22" s="12"/>
    </row>
    <row r="23" spans="1:9">
      <c r="A23" s="6">
        <v>15</v>
      </c>
      <c r="B23" s="7" t="str">
        <f>IF('Ingoing substances'!S23="Yes",'Product formulation'!B22,"")</f>
        <v/>
      </c>
      <c r="C23" s="7" t="str">
        <f>IF('Ingoing substances'!S23="Yes",'Product formulation'!C22,"")</f>
        <v/>
      </c>
      <c r="D23" s="7" t="str">
        <f>IF('Ingoing substances'!S23="Yes",'Rinse-off - DID'!B23,"")</f>
        <v/>
      </c>
      <c r="E23" s="25" t="str">
        <f>IF('Ingoing substances'!S23="Yes",'Rinse-off - DID'!G23,"")</f>
        <v/>
      </c>
      <c r="F23" s="10"/>
      <c r="G23" s="10"/>
      <c r="H23" s="10" t="str">
        <f t="shared" si="0"/>
        <v/>
      </c>
      <c r="I23" s="12"/>
    </row>
    <row r="24" spans="1:9">
      <c r="A24" s="6">
        <v>16</v>
      </c>
      <c r="B24" s="7" t="str">
        <f>IF('Ingoing substances'!S24="Yes",'Product formulation'!B23,"")</f>
        <v/>
      </c>
      <c r="C24" s="7" t="str">
        <f>IF('Ingoing substances'!S24="Yes",'Product formulation'!C23,"")</f>
        <v/>
      </c>
      <c r="D24" s="7" t="str">
        <f>IF('Ingoing substances'!S24="Yes",'Rinse-off - DID'!B24,"")</f>
        <v/>
      </c>
      <c r="E24" s="25" t="str">
        <f>IF('Ingoing substances'!S24="Yes",'Rinse-off - DID'!G24,"")</f>
        <v/>
      </c>
      <c r="F24" s="10"/>
      <c r="G24" s="10"/>
      <c r="H24" s="10" t="str">
        <f t="shared" si="0"/>
        <v/>
      </c>
      <c r="I24" s="12"/>
    </row>
    <row r="25" spans="1:9">
      <c r="A25" s="6">
        <v>17</v>
      </c>
      <c r="B25" s="7" t="str">
        <f>IF('Ingoing substances'!S25="Yes",'Product formulation'!B24,"")</f>
        <v/>
      </c>
      <c r="C25" s="7" t="str">
        <f>IF('Ingoing substances'!S25="Yes",'Product formulation'!C24,"")</f>
        <v/>
      </c>
      <c r="D25" s="7" t="str">
        <f>IF('Ingoing substances'!S25="Yes",'Rinse-off - DID'!B25,"")</f>
        <v/>
      </c>
      <c r="E25" s="25" t="str">
        <f>IF('Ingoing substances'!S25="Yes",'Rinse-off - DID'!G25,"")</f>
        <v/>
      </c>
      <c r="F25" s="10"/>
      <c r="G25" s="10"/>
      <c r="H25" s="10" t="str">
        <f t="shared" si="0"/>
        <v/>
      </c>
      <c r="I25" s="12"/>
    </row>
    <row r="26" spans="1:9">
      <c r="A26" s="6">
        <v>18</v>
      </c>
      <c r="B26" s="7" t="str">
        <f>IF('Ingoing substances'!S26="Yes",'Product formulation'!B25,"")</f>
        <v/>
      </c>
      <c r="C26" s="7" t="str">
        <f>IF('Ingoing substances'!S26="Yes",'Product formulation'!C25,"")</f>
        <v/>
      </c>
      <c r="D26" s="7" t="str">
        <f>IF('Ingoing substances'!S26="Yes",'Rinse-off - DID'!B26,"")</f>
        <v/>
      </c>
      <c r="E26" s="25" t="str">
        <f>IF('Ingoing substances'!S26="Yes",'Rinse-off - DID'!G26,"")</f>
        <v/>
      </c>
      <c r="F26" s="10"/>
      <c r="G26" s="10"/>
      <c r="H26" s="10" t="str">
        <f t="shared" si="0"/>
        <v/>
      </c>
      <c r="I26" s="12"/>
    </row>
    <row r="27" spans="1:9">
      <c r="A27" s="6">
        <v>19</v>
      </c>
      <c r="B27" s="7" t="str">
        <f>IF('Ingoing substances'!S27="Yes",'Product formulation'!B26,"")</f>
        <v/>
      </c>
      <c r="C27" s="7" t="str">
        <f>IF('Ingoing substances'!S27="Yes",'Product formulation'!C26,"")</f>
        <v/>
      </c>
      <c r="D27" s="7" t="str">
        <f>IF('Ingoing substances'!S27="Yes",'Rinse-off - DID'!B27,"")</f>
        <v/>
      </c>
      <c r="E27" s="25" t="str">
        <f>IF('Ingoing substances'!S27="Yes",'Rinse-off - DID'!G27,"")</f>
        <v/>
      </c>
      <c r="F27" s="10"/>
      <c r="G27" s="10"/>
      <c r="H27" s="10" t="str">
        <f t="shared" si="0"/>
        <v/>
      </c>
      <c r="I27" s="12"/>
    </row>
    <row r="28" spans="1:9">
      <c r="A28" s="6">
        <v>20</v>
      </c>
      <c r="B28" s="7" t="str">
        <f>IF('Ingoing substances'!S28="Yes",'Product formulation'!B27,"")</f>
        <v/>
      </c>
      <c r="C28" s="7" t="str">
        <f>IF('Ingoing substances'!S28="Yes",'Product formulation'!C27,"")</f>
        <v/>
      </c>
      <c r="D28" s="7" t="str">
        <f>IF('Ingoing substances'!S28="Yes",'Rinse-off - DID'!B28,"")</f>
        <v/>
      </c>
      <c r="E28" s="25" t="str">
        <f>IF('Ingoing substances'!S28="Yes",'Rinse-off - DID'!G28,"")</f>
        <v/>
      </c>
      <c r="F28" s="10"/>
      <c r="G28" s="10"/>
      <c r="H28" s="10" t="str">
        <f t="shared" si="0"/>
        <v/>
      </c>
      <c r="I28" s="12"/>
    </row>
    <row r="29" spans="1:9">
      <c r="A29" s="6">
        <v>21</v>
      </c>
      <c r="B29" s="7" t="str">
        <f>IF('Ingoing substances'!S29="Yes",'Product formulation'!B28,"")</f>
        <v/>
      </c>
      <c r="C29" s="7" t="str">
        <f>IF('Ingoing substances'!S29="Yes",'Product formulation'!C28,"")</f>
        <v/>
      </c>
      <c r="D29" s="7" t="str">
        <f>IF('Ingoing substances'!S29="Yes",'Rinse-off - DID'!B29,"")</f>
        <v/>
      </c>
      <c r="E29" s="25" t="str">
        <f>IF('Ingoing substances'!S29="Yes",'Rinse-off - DID'!G29,"")</f>
        <v/>
      </c>
      <c r="F29" s="10"/>
      <c r="G29" s="10"/>
      <c r="H29" s="10" t="str">
        <f t="shared" si="0"/>
        <v/>
      </c>
      <c r="I29" s="12"/>
    </row>
    <row r="30" spans="1:9">
      <c r="A30" s="6">
        <v>22</v>
      </c>
      <c r="B30" s="7" t="str">
        <f>IF('Ingoing substances'!S30="Yes",'Product formulation'!B29,"")</f>
        <v/>
      </c>
      <c r="C30" s="7" t="str">
        <f>IF('Ingoing substances'!S30="Yes",'Product formulation'!C29,"")</f>
        <v/>
      </c>
      <c r="D30" s="7" t="str">
        <f>IF('Ingoing substances'!S30="Yes",'Rinse-off - DID'!B30,"")</f>
        <v/>
      </c>
      <c r="E30" s="25" t="str">
        <f>IF('Ingoing substances'!S30="Yes",'Rinse-off - DID'!G30,"")</f>
        <v/>
      </c>
      <c r="F30" s="10"/>
      <c r="G30" s="10"/>
      <c r="H30" s="10" t="str">
        <f t="shared" si="0"/>
        <v/>
      </c>
      <c r="I30" s="12"/>
    </row>
    <row r="31" spans="1:9">
      <c r="A31" s="6">
        <v>23</v>
      </c>
      <c r="B31" s="7" t="str">
        <f>IF('Ingoing substances'!S31="Yes",'Product formulation'!B30,"")</f>
        <v/>
      </c>
      <c r="C31" s="7" t="str">
        <f>IF('Ingoing substances'!S31="Yes",'Product formulation'!C30,"")</f>
        <v/>
      </c>
      <c r="D31" s="7" t="str">
        <f>IF('Ingoing substances'!S31="Yes",'Rinse-off - DID'!B31,"")</f>
        <v/>
      </c>
      <c r="E31" s="25" t="str">
        <f>IF('Ingoing substances'!S31="Yes",'Rinse-off - DID'!G31,"")</f>
        <v/>
      </c>
      <c r="F31" s="10"/>
      <c r="G31" s="10"/>
      <c r="H31" s="10" t="str">
        <f t="shared" si="0"/>
        <v/>
      </c>
      <c r="I31" s="12"/>
    </row>
    <row r="32" spans="1:9">
      <c r="A32" s="6">
        <v>24</v>
      </c>
      <c r="B32" s="7" t="str">
        <f>IF('Ingoing substances'!S32="Yes",'Product formulation'!B31,"")</f>
        <v/>
      </c>
      <c r="C32" s="7" t="str">
        <f>IF('Ingoing substances'!S32="Yes",'Product formulation'!C31,"")</f>
        <v/>
      </c>
      <c r="D32" s="7" t="str">
        <f>IF('Ingoing substances'!S32="Yes",'Rinse-off - DID'!B32,"")</f>
        <v/>
      </c>
      <c r="E32" s="25" t="str">
        <f>IF('Ingoing substances'!S32="Yes",'Rinse-off - DID'!G32,"")</f>
        <v/>
      </c>
      <c r="F32" s="10"/>
      <c r="G32" s="10"/>
      <c r="H32" s="10" t="str">
        <f t="shared" si="0"/>
        <v/>
      </c>
      <c r="I32" s="12"/>
    </row>
    <row r="33" spans="1:9">
      <c r="A33" s="6">
        <v>25</v>
      </c>
      <c r="B33" s="7" t="str">
        <f>IF('Ingoing substances'!S33="Yes",'Product formulation'!B32,"")</f>
        <v/>
      </c>
      <c r="C33" s="7" t="str">
        <f>IF('Ingoing substances'!S33="Yes",'Product formulation'!C32,"")</f>
        <v/>
      </c>
      <c r="D33" s="7" t="str">
        <f>IF('Ingoing substances'!S33="Yes",'Rinse-off - DID'!B33,"")</f>
        <v/>
      </c>
      <c r="E33" s="25" t="str">
        <f>IF('Ingoing substances'!S33="Yes",'Rinse-off - DID'!G33,"")</f>
        <v/>
      </c>
      <c r="F33" s="10"/>
      <c r="G33" s="10"/>
      <c r="H33" s="10" t="str">
        <f t="shared" si="0"/>
        <v/>
      </c>
      <c r="I33" s="12"/>
    </row>
    <row r="34" spans="1:9">
      <c r="A34" s="6">
        <v>26</v>
      </c>
      <c r="B34" s="7" t="str">
        <f>IF('Ingoing substances'!S34="Yes",'Product formulation'!B33,"")</f>
        <v/>
      </c>
      <c r="C34" s="7" t="str">
        <f>IF('Ingoing substances'!S34="Yes",'Product formulation'!C33,"")</f>
        <v/>
      </c>
      <c r="D34" s="7" t="str">
        <f>IF('Ingoing substances'!S34="Yes",'Rinse-off - DID'!B34,"")</f>
        <v/>
      </c>
      <c r="E34" s="25" t="str">
        <f>IF('Ingoing substances'!S34="Yes",'Rinse-off - DID'!G34,"")</f>
        <v/>
      </c>
      <c r="F34" s="10"/>
      <c r="G34" s="10"/>
      <c r="H34" s="10" t="str">
        <f t="shared" si="0"/>
        <v/>
      </c>
      <c r="I34" s="12"/>
    </row>
    <row r="35" spans="1:9">
      <c r="A35" s="6">
        <v>27</v>
      </c>
      <c r="B35" s="7" t="str">
        <f>IF('Ingoing substances'!S35="Yes",'Product formulation'!B34,"")</f>
        <v/>
      </c>
      <c r="C35" s="7" t="str">
        <f>IF('Ingoing substances'!S35="Yes",'Product formulation'!C34,"")</f>
        <v/>
      </c>
      <c r="D35" s="7" t="str">
        <f>IF('Ingoing substances'!S35="Yes",'Rinse-off - DID'!B35,"")</f>
        <v/>
      </c>
      <c r="E35" s="25" t="str">
        <f>IF('Ingoing substances'!S35="Yes",'Rinse-off - DID'!G35,"")</f>
        <v/>
      </c>
      <c r="F35" s="10"/>
      <c r="G35" s="10"/>
      <c r="H35" s="10" t="str">
        <f t="shared" si="0"/>
        <v/>
      </c>
      <c r="I35" s="12"/>
    </row>
    <row r="36" spans="1:9">
      <c r="A36" s="6">
        <v>28</v>
      </c>
      <c r="B36" s="7" t="str">
        <f>IF('Ingoing substances'!S36="Yes",'Product formulation'!B35,"")</f>
        <v/>
      </c>
      <c r="C36" s="7" t="str">
        <f>IF('Ingoing substances'!S36="Yes",'Product formulation'!C35,"")</f>
        <v/>
      </c>
      <c r="D36" s="7" t="str">
        <f>IF('Ingoing substances'!S36="Yes",'Rinse-off - DID'!B36,"")</f>
        <v/>
      </c>
      <c r="E36" s="25" t="str">
        <f>IF('Ingoing substances'!S36="Yes",'Rinse-off - DID'!G36,"")</f>
        <v/>
      </c>
      <c r="F36" s="10"/>
      <c r="G36" s="10"/>
      <c r="H36" s="10" t="str">
        <f t="shared" si="0"/>
        <v/>
      </c>
      <c r="I36" s="12"/>
    </row>
    <row r="37" spans="1:9">
      <c r="A37" s="6">
        <v>29</v>
      </c>
      <c r="B37" s="7" t="str">
        <f>IF('Ingoing substances'!S37="Yes",'Product formulation'!B36,"")</f>
        <v/>
      </c>
      <c r="C37" s="7" t="str">
        <f>IF('Ingoing substances'!S37="Yes",'Product formulation'!C36,"")</f>
        <v/>
      </c>
      <c r="D37" s="7" t="str">
        <f>IF('Ingoing substances'!S37="Yes",'Rinse-off - DID'!B37,"")</f>
        <v/>
      </c>
      <c r="E37" s="25" t="str">
        <f>IF('Ingoing substances'!S37="Yes",'Rinse-off - DID'!G37,"")</f>
        <v/>
      </c>
      <c r="F37" s="10"/>
      <c r="G37" s="10"/>
      <c r="H37" s="10" t="str">
        <f t="shared" si="0"/>
        <v/>
      </c>
      <c r="I37" s="12"/>
    </row>
    <row r="38" spans="1:9">
      <c r="A38" s="6">
        <v>30</v>
      </c>
      <c r="B38" s="7" t="str">
        <f>IF('Ingoing substances'!S38="Yes",'Product formulation'!B37,"")</f>
        <v/>
      </c>
      <c r="C38" s="7" t="str">
        <f>IF('Ingoing substances'!S38="Yes",'Product formulation'!C37,"")</f>
        <v/>
      </c>
      <c r="D38" s="7" t="str">
        <f>IF('Ingoing substances'!S38="Yes",'Rinse-off - DID'!B38,"")</f>
        <v/>
      </c>
      <c r="E38" s="25" t="str">
        <f>IF('Ingoing substances'!S38="Yes",'Rinse-off - DID'!G38,"")</f>
        <v/>
      </c>
      <c r="F38" s="10"/>
      <c r="G38" s="10"/>
      <c r="H38" s="10" t="str">
        <f t="shared" si="0"/>
        <v/>
      </c>
      <c r="I38" s="12"/>
    </row>
    <row r="39" spans="1:9">
      <c r="A39" s="6">
        <v>31</v>
      </c>
      <c r="B39" s="7" t="str">
        <f>IF('Ingoing substances'!S39="Yes",'Product formulation'!B38,"")</f>
        <v/>
      </c>
      <c r="C39" s="7" t="str">
        <f>IF('Ingoing substances'!S39="Yes",'Product formulation'!C38,"")</f>
        <v/>
      </c>
      <c r="D39" s="7" t="str">
        <f>IF('Ingoing substances'!S39="Yes",'Rinse-off - DID'!B39,"")</f>
        <v/>
      </c>
      <c r="E39" s="25" t="str">
        <f>IF('Ingoing substances'!S39="Yes",'Rinse-off - DID'!G39,"")</f>
        <v/>
      </c>
      <c r="F39" s="10"/>
      <c r="G39" s="10"/>
      <c r="H39" s="10" t="str">
        <f t="shared" si="0"/>
        <v/>
      </c>
      <c r="I39" s="12"/>
    </row>
    <row r="40" spans="1:9">
      <c r="A40" s="6">
        <v>32</v>
      </c>
      <c r="B40" s="7" t="str">
        <f>IF('Ingoing substances'!S40="Yes",'Product formulation'!B39,"")</f>
        <v/>
      </c>
      <c r="C40" s="7" t="str">
        <f>IF('Ingoing substances'!S40="Yes",'Product formulation'!C39,"")</f>
        <v/>
      </c>
      <c r="D40" s="7" t="str">
        <f>IF('Ingoing substances'!S40="Yes",'Rinse-off - DID'!B40,"")</f>
        <v/>
      </c>
      <c r="E40" s="25" t="str">
        <f>IF('Ingoing substances'!S40="Yes",'Rinse-off - DID'!G40,"")</f>
        <v/>
      </c>
      <c r="F40" s="10"/>
      <c r="G40" s="10"/>
      <c r="H40" s="10" t="str">
        <f t="shared" si="0"/>
        <v/>
      </c>
      <c r="I40" s="12"/>
    </row>
    <row r="41" spans="1:9">
      <c r="A41" s="6">
        <v>33</v>
      </c>
      <c r="B41" s="7" t="str">
        <f>IF('Ingoing substances'!S41="Yes",'Product formulation'!B40,"")</f>
        <v/>
      </c>
      <c r="C41" s="7" t="str">
        <f>IF('Ingoing substances'!S41="Yes",'Product formulation'!C40,"")</f>
        <v/>
      </c>
      <c r="D41" s="7" t="str">
        <f>IF('Ingoing substances'!S41="Yes",'Rinse-off - DID'!B41,"")</f>
        <v/>
      </c>
      <c r="E41" s="25" t="str">
        <f>IF('Ingoing substances'!S41="Yes",'Rinse-off - DID'!G41,"")</f>
        <v/>
      </c>
      <c r="F41" s="10"/>
      <c r="G41" s="10"/>
      <c r="H41" s="10" t="str">
        <f t="shared" si="0"/>
        <v/>
      </c>
      <c r="I41" s="12"/>
    </row>
    <row r="42" spans="1:9">
      <c r="A42" s="6">
        <v>34</v>
      </c>
      <c r="B42" s="7" t="str">
        <f>IF('Ingoing substances'!S42="Yes",'Product formulation'!B41,"")</f>
        <v/>
      </c>
      <c r="C42" s="7" t="str">
        <f>IF('Ingoing substances'!S42="Yes",'Product formulation'!C41,"")</f>
        <v/>
      </c>
      <c r="D42" s="7" t="str">
        <f>IF('Ingoing substances'!S42="Yes",'Rinse-off - DID'!B42,"")</f>
        <v/>
      </c>
      <c r="E42" s="25" t="str">
        <f>IF('Ingoing substances'!S42="Yes",'Rinse-off - DID'!G42,"")</f>
        <v/>
      </c>
      <c r="F42" s="10"/>
      <c r="G42" s="10"/>
      <c r="H42" s="10" t="str">
        <f t="shared" si="0"/>
        <v/>
      </c>
      <c r="I42" s="12"/>
    </row>
    <row r="43" spans="1:9">
      <c r="A43" s="6">
        <v>35</v>
      </c>
      <c r="B43" s="7" t="str">
        <f>IF('Ingoing substances'!S43="Yes",'Product formulation'!B42,"")</f>
        <v/>
      </c>
      <c r="C43" s="7" t="str">
        <f>IF('Ingoing substances'!S43="Yes",'Product formulation'!C42,"")</f>
        <v/>
      </c>
      <c r="D43" s="7" t="str">
        <f>IF('Ingoing substances'!S43="Yes",'Rinse-off - DID'!B43,"")</f>
        <v/>
      </c>
      <c r="E43" s="25" t="str">
        <f>IF('Ingoing substances'!S43="Yes",'Rinse-off - DID'!G43,"")</f>
        <v/>
      </c>
      <c r="F43" s="10"/>
      <c r="G43" s="10"/>
      <c r="H43" s="10" t="str">
        <f t="shared" si="0"/>
        <v/>
      </c>
      <c r="I43" s="12"/>
    </row>
    <row r="44" spans="1:9">
      <c r="A44" s="6">
        <v>36</v>
      </c>
      <c r="B44" s="7" t="str">
        <f>IF('Ingoing substances'!S44="Yes",'Product formulation'!B43,"")</f>
        <v/>
      </c>
      <c r="C44" s="7" t="str">
        <f>IF('Ingoing substances'!S44="Yes",'Product formulation'!C43,"")</f>
        <v/>
      </c>
      <c r="D44" s="7" t="str">
        <f>IF('Ingoing substances'!S44="Yes",'Rinse-off - DID'!B44,"")</f>
        <v/>
      </c>
      <c r="E44" s="25" t="str">
        <f>IF('Ingoing substances'!S44="Yes",'Rinse-off - DID'!G44,"")</f>
        <v/>
      </c>
      <c r="F44" s="10"/>
      <c r="G44" s="10"/>
      <c r="H44" s="10" t="str">
        <f t="shared" si="0"/>
        <v/>
      </c>
      <c r="I44" s="12"/>
    </row>
    <row r="45" spans="1:9">
      <c r="A45" s="6">
        <v>37</v>
      </c>
      <c r="B45" s="7" t="str">
        <f>IF('Ingoing substances'!S45="Yes",'Product formulation'!B44,"")</f>
        <v/>
      </c>
      <c r="C45" s="7" t="str">
        <f>IF('Ingoing substances'!S45="Yes",'Product formulation'!C44,"")</f>
        <v/>
      </c>
      <c r="D45" s="7" t="str">
        <f>IF('Ingoing substances'!S45="Yes",'Rinse-off - DID'!B45,"")</f>
        <v/>
      </c>
      <c r="E45" s="25" t="str">
        <f>IF('Ingoing substances'!S45="Yes",'Rinse-off - DID'!G45,"")</f>
        <v/>
      </c>
      <c r="F45" s="10"/>
      <c r="G45" s="10"/>
      <c r="H45" s="10" t="str">
        <f t="shared" si="0"/>
        <v/>
      </c>
      <c r="I45" s="12"/>
    </row>
    <row r="46" spans="1:9">
      <c r="A46" s="6">
        <v>38</v>
      </c>
      <c r="B46" s="7" t="str">
        <f>IF('Ingoing substances'!S46="Yes",'Product formulation'!B45,"")</f>
        <v/>
      </c>
      <c r="C46" s="7" t="str">
        <f>IF('Ingoing substances'!S46="Yes",'Product formulation'!C45,"")</f>
        <v/>
      </c>
      <c r="D46" s="7" t="str">
        <f>IF('Ingoing substances'!S46="Yes",'Rinse-off - DID'!B46,"")</f>
        <v/>
      </c>
      <c r="E46" s="25" t="str">
        <f>IF('Ingoing substances'!S46="Yes",'Rinse-off - DID'!G46,"")</f>
        <v/>
      </c>
      <c r="F46" s="10"/>
      <c r="G46" s="10"/>
      <c r="H46" s="10" t="str">
        <f t="shared" si="0"/>
        <v/>
      </c>
      <c r="I46" s="12"/>
    </row>
    <row r="47" spans="1:9">
      <c r="A47" s="6">
        <v>39</v>
      </c>
      <c r="B47" s="7" t="str">
        <f>IF('Ingoing substances'!S47="Yes",'Product formulation'!B46,"")</f>
        <v/>
      </c>
      <c r="C47" s="7" t="str">
        <f>IF('Ingoing substances'!S47="Yes",'Product formulation'!C46,"")</f>
        <v/>
      </c>
      <c r="D47" s="7" t="str">
        <f>IF('Ingoing substances'!S47="Yes",'Rinse-off - DID'!B47,"")</f>
        <v/>
      </c>
      <c r="E47" s="25" t="str">
        <f>IF('Ingoing substances'!S47="Yes",'Rinse-off - DID'!G47,"")</f>
        <v/>
      </c>
      <c r="F47" s="10"/>
      <c r="G47" s="10"/>
      <c r="H47" s="10" t="str">
        <f t="shared" si="0"/>
        <v/>
      </c>
      <c r="I47" s="12"/>
    </row>
    <row r="48" spans="1:9">
      <c r="A48" s="6">
        <v>40</v>
      </c>
      <c r="B48" s="7" t="str">
        <f>IF('Ingoing substances'!S48="Yes",'Product formulation'!B47,"")</f>
        <v/>
      </c>
      <c r="C48" s="7" t="str">
        <f>IF('Ingoing substances'!S48="Yes",'Product formulation'!C47,"")</f>
        <v/>
      </c>
      <c r="D48" s="7" t="str">
        <f>IF('Ingoing substances'!S48="Yes",'Rinse-off - DID'!B48,"")</f>
        <v/>
      </c>
      <c r="E48" s="25" t="str">
        <f>IF('Ingoing substances'!S48="Yes",'Rinse-off - DID'!G48,"")</f>
        <v/>
      </c>
      <c r="F48" s="10"/>
      <c r="G48" s="10"/>
      <c r="H48" s="10" t="str">
        <f t="shared" si="0"/>
        <v/>
      </c>
      <c r="I48" s="12"/>
    </row>
    <row r="49" spans="1:9">
      <c r="A49" s="6">
        <v>41</v>
      </c>
      <c r="B49" s="7" t="str">
        <f>IF('Ingoing substances'!S49="Yes",'Product formulation'!B48,"")</f>
        <v/>
      </c>
      <c r="C49" s="7" t="str">
        <f>IF('Ingoing substances'!S49="Yes",'Product formulation'!C48,"")</f>
        <v/>
      </c>
      <c r="D49" s="7" t="str">
        <f>IF('Ingoing substances'!S49="Yes",'Rinse-off - DID'!B49,"")</f>
        <v/>
      </c>
      <c r="E49" s="25" t="str">
        <f>IF('Ingoing substances'!S49="Yes",'Rinse-off - DID'!G49,"")</f>
        <v/>
      </c>
      <c r="F49" s="10"/>
      <c r="G49" s="10"/>
      <c r="H49" s="10" t="str">
        <f t="shared" si="0"/>
        <v/>
      </c>
      <c r="I49" s="12"/>
    </row>
    <row r="50" spans="1:9">
      <c r="A50" s="6">
        <v>42</v>
      </c>
      <c r="B50" s="7" t="str">
        <f>IF('Ingoing substances'!S50="Yes",'Product formulation'!B49,"")</f>
        <v/>
      </c>
      <c r="C50" s="7" t="str">
        <f>IF('Ingoing substances'!S50="Yes",'Product formulation'!C49,"")</f>
        <v/>
      </c>
      <c r="D50" s="7" t="str">
        <f>IF('Ingoing substances'!S50="Yes",'Rinse-off - DID'!B50,"")</f>
        <v/>
      </c>
      <c r="E50" s="25" t="str">
        <f>IF('Ingoing substances'!S50="Yes",'Rinse-off - DID'!G50,"")</f>
        <v/>
      </c>
      <c r="F50" s="10"/>
      <c r="G50" s="10"/>
      <c r="H50" s="10" t="str">
        <f t="shared" si="0"/>
        <v/>
      </c>
      <c r="I50" s="12"/>
    </row>
    <row r="51" spans="1:9">
      <c r="A51" s="6">
        <v>43</v>
      </c>
      <c r="B51" s="7" t="str">
        <f>IF('Ingoing substances'!S51="Yes",'Product formulation'!B50,"")</f>
        <v/>
      </c>
      <c r="C51" s="7" t="str">
        <f>IF('Ingoing substances'!S51="Yes",'Product formulation'!C50,"")</f>
        <v/>
      </c>
      <c r="D51" s="7" t="str">
        <f>IF('Ingoing substances'!S51="Yes",'Rinse-off - DID'!B51,"")</f>
        <v/>
      </c>
      <c r="E51" s="25" t="str">
        <f>IF('Ingoing substances'!S51="Yes",'Rinse-off - DID'!G51,"")</f>
        <v/>
      </c>
      <c r="F51" s="10"/>
      <c r="G51" s="10"/>
      <c r="H51" s="10" t="str">
        <f t="shared" si="0"/>
        <v/>
      </c>
      <c r="I51" s="12"/>
    </row>
    <row r="52" spans="1:9">
      <c r="A52" s="6">
        <v>44</v>
      </c>
      <c r="B52" s="7" t="str">
        <f>IF('Ingoing substances'!S52="Yes",'Product formulation'!B51,"")</f>
        <v/>
      </c>
      <c r="C52" s="7" t="str">
        <f>IF('Ingoing substances'!S52="Yes",'Product formulation'!C51,"")</f>
        <v/>
      </c>
      <c r="D52" s="7" t="str">
        <f>IF('Ingoing substances'!S52="Yes",'Rinse-off - DID'!B52,"")</f>
        <v/>
      </c>
      <c r="E52" s="25" t="str">
        <f>IF('Ingoing substances'!S52="Yes",'Rinse-off - DID'!G52,"")</f>
        <v/>
      </c>
      <c r="F52" s="10"/>
      <c r="G52" s="10"/>
      <c r="H52" s="10" t="str">
        <f t="shared" si="0"/>
        <v/>
      </c>
      <c r="I52" s="12"/>
    </row>
    <row r="53" spans="1:9">
      <c r="A53" s="6">
        <v>45</v>
      </c>
      <c r="B53" s="7" t="str">
        <f>IF('Ingoing substances'!S53="Yes",'Product formulation'!B52,"")</f>
        <v/>
      </c>
      <c r="C53" s="7" t="str">
        <f>IF('Ingoing substances'!S53="Yes",'Product formulation'!C52,"")</f>
        <v/>
      </c>
      <c r="D53" s="7" t="str">
        <f>IF('Ingoing substances'!S53="Yes",'Rinse-off - DID'!B53,"")</f>
        <v/>
      </c>
      <c r="E53" s="25" t="str">
        <f>IF('Ingoing substances'!S53="Yes",'Rinse-off - DID'!G53,"")</f>
        <v/>
      </c>
      <c r="F53" s="10"/>
      <c r="G53" s="10"/>
      <c r="H53" s="10" t="str">
        <f t="shared" si="0"/>
        <v/>
      </c>
      <c r="I53" s="12"/>
    </row>
    <row r="54" spans="1:9">
      <c r="A54" s="6">
        <v>46</v>
      </c>
      <c r="B54" s="7" t="str">
        <f>IF('Ingoing substances'!S54="Yes",'Product formulation'!B53,"")</f>
        <v/>
      </c>
      <c r="C54" s="7" t="str">
        <f>IF('Ingoing substances'!S54="Yes",'Product formulation'!C53,"")</f>
        <v/>
      </c>
      <c r="D54" s="7" t="str">
        <f>IF('Ingoing substances'!S54="Yes",'Rinse-off - DID'!B54,"")</f>
        <v/>
      </c>
      <c r="E54" s="25" t="str">
        <f>IF('Ingoing substances'!S54="Yes",'Rinse-off - DID'!G54,"")</f>
        <v/>
      </c>
      <c r="F54" s="10"/>
      <c r="G54" s="10"/>
      <c r="H54" s="10" t="str">
        <f t="shared" si="0"/>
        <v/>
      </c>
      <c r="I54" s="12"/>
    </row>
    <row r="55" spans="1:9">
      <c r="A55" s="6">
        <v>47</v>
      </c>
      <c r="B55" s="7" t="str">
        <f>IF('Ingoing substances'!S55="Yes",'Product formulation'!B54,"")</f>
        <v/>
      </c>
      <c r="C55" s="7" t="str">
        <f>IF('Ingoing substances'!S55="Yes",'Product formulation'!C54,"")</f>
        <v/>
      </c>
      <c r="D55" s="7" t="str">
        <f>IF('Ingoing substances'!S55="Yes",'Rinse-off - DID'!B55,"")</f>
        <v/>
      </c>
      <c r="E55" s="25" t="str">
        <f>IF('Ingoing substances'!S55="Yes",'Rinse-off - DID'!G55,"")</f>
        <v/>
      </c>
      <c r="F55" s="10"/>
      <c r="G55" s="10"/>
      <c r="H55" s="10" t="str">
        <f t="shared" si="0"/>
        <v/>
      </c>
      <c r="I55" s="12"/>
    </row>
    <row r="56" spans="1:9">
      <c r="A56" s="6">
        <v>48</v>
      </c>
      <c r="B56" s="7" t="str">
        <f>IF('Ingoing substances'!S56="Yes",'Product formulation'!B55,"")</f>
        <v/>
      </c>
      <c r="C56" s="7" t="str">
        <f>IF('Ingoing substances'!S56="Yes",'Product formulation'!C55,"")</f>
        <v/>
      </c>
      <c r="D56" s="7" t="str">
        <f>IF('Ingoing substances'!S56="Yes",'Rinse-off - DID'!B56,"")</f>
        <v/>
      </c>
      <c r="E56" s="25" t="str">
        <f>IF('Ingoing substances'!S56="Yes",'Rinse-off - DID'!G56,"")</f>
        <v/>
      </c>
      <c r="F56" s="10"/>
      <c r="G56" s="10"/>
      <c r="H56" s="10" t="str">
        <f t="shared" si="0"/>
        <v/>
      </c>
      <c r="I56" s="12"/>
    </row>
    <row r="57" spans="1:9">
      <c r="A57" s="6">
        <v>49</v>
      </c>
      <c r="B57" s="7" t="str">
        <f>IF('Ingoing substances'!S57="Yes",'Product formulation'!B56,"")</f>
        <v/>
      </c>
      <c r="C57" s="7" t="str">
        <f>IF('Ingoing substances'!S57="Yes",'Product formulation'!C56,"")</f>
        <v/>
      </c>
      <c r="D57" s="7" t="str">
        <f>IF('Ingoing substances'!S57="Yes",'Rinse-off - DID'!B57,"")</f>
        <v/>
      </c>
      <c r="E57" s="25" t="str">
        <f>IF('Ingoing substances'!S57="Yes",'Rinse-off - DID'!G57,"")</f>
        <v/>
      </c>
      <c r="F57" s="10"/>
      <c r="G57" s="10"/>
      <c r="H57" s="10" t="str">
        <f t="shared" si="0"/>
        <v/>
      </c>
      <c r="I57" s="12"/>
    </row>
    <row r="58" spans="1:9">
      <c r="A58" s="6">
        <v>50</v>
      </c>
      <c r="B58" s="7" t="str">
        <f>IF('Ingoing substances'!S58="Yes",'Product formulation'!B57,"")</f>
        <v/>
      </c>
      <c r="C58" s="7" t="str">
        <f>IF('Ingoing substances'!S58="Yes",'Product formulation'!C57,"")</f>
        <v/>
      </c>
      <c r="D58" s="7" t="str">
        <f>IF('Ingoing substances'!S58="Yes",'Rinse-off - DID'!B58,"")</f>
        <v/>
      </c>
      <c r="E58" s="25" t="str">
        <f>IF('Ingoing substances'!S58="Yes",'Rinse-off - DID'!G58,"")</f>
        <v/>
      </c>
      <c r="F58" s="10"/>
      <c r="G58" s="10"/>
      <c r="H58" s="10" t="str">
        <f t="shared" si="0"/>
        <v/>
      </c>
      <c r="I58" s="12"/>
    </row>
    <row r="59" spans="1:9">
      <c r="B59" s="237" t="s">
        <v>26</v>
      </c>
      <c r="C59" s="237"/>
      <c r="D59" s="237"/>
      <c r="E59" s="237">
        <f>SUM(E10:E58)</f>
        <v>0</v>
      </c>
      <c r="F59" s="237"/>
      <c r="G59" s="243"/>
      <c r="H59" s="243"/>
      <c r="I59" s="243"/>
    </row>
    <row r="61" spans="1:9">
      <c r="B61" s="3" t="s">
        <v>534</v>
      </c>
    </row>
    <row r="62" spans="1:9">
      <c r="B62" s="316"/>
      <c r="C62" s="317"/>
      <c r="D62" s="317"/>
      <c r="E62" s="317"/>
      <c r="F62" s="317"/>
      <c r="G62" s="317"/>
      <c r="H62" s="317"/>
      <c r="I62" s="318"/>
    </row>
    <row r="63" spans="1:9">
      <c r="B63" s="319"/>
      <c r="C63" s="320"/>
      <c r="D63" s="320"/>
      <c r="E63" s="320"/>
      <c r="F63" s="320"/>
      <c r="G63" s="320"/>
      <c r="H63" s="320"/>
      <c r="I63" s="321"/>
    </row>
    <row r="64" spans="1:9">
      <c r="B64" s="319"/>
      <c r="C64" s="320"/>
      <c r="D64" s="320"/>
      <c r="E64" s="320"/>
      <c r="F64" s="320"/>
      <c r="G64" s="320"/>
      <c r="H64" s="320"/>
      <c r="I64" s="321"/>
    </row>
    <row r="65" spans="2:9">
      <c r="B65" s="322"/>
      <c r="C65" s="323"/>
      <c r="D65" s="323"/>
      <c r="E65" s="323"/>
      <c r="F65" s="323"/>
      <c r="G65" s="323"/>
      <c r="H65" s="323"/>
      <c r="I65" s="324"/>
    </row>
  </sheetData>
  <sheetProtection algorithmName="SHA-512" hashValue="8AwrhWJ3+2PAjpmiFvZKfCF43is6OxFa/UJDbLUYHTY+mDR+NIXzdDKA3zFD29tl3viTqIvY9B6pbv558tj/xQ==" saltValue="NQvHx2yMdq+1Gws5DR33SQ==" spinCount="100000" sheet="1" selectLockedCells="1"/>
  <mergeCells count="9">
    <mergeCell ref="B1:D1"/>
    <mergeCell ref="B62:I65"/>
    <mergeCell ref="D7:D8"/>
    <mergeCell ref="C7:C8"/>
    <mergeCell ref="C2:D2"/>
    <mergeCell ref="C3:D3"/>
    <mergeCell ref="B7:B8"/>
    <mergeCell ref="I7:I8"/>
    <mergeCell ref="G7:H7"/>
  </mergeCells>
  <conditionalFormatting sqref="I10:I58">
    <cfRule type="expression" dxfId="51" priority="2">
      <formula>ISBLANK(G10)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61BAC05-3492-4E3D-A342-F859A0413204}">
            <xm:f>'Ingoing substances'!$S10="Yes"</xm:f>
            <x14:dxf>
              <fill>
                <patternFill>
                  <bgColor theme="0" tint="-0.14996795556505021"/>
                </patternFill>
              </fill>
            </x14:dxf>
          </x14:cfRule>
          <xm:sqref>F10:G58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Hoja2!$B$12:$B$14</xm:f>
          </x14:formula1>
          <xm:sqref>G10:G58</xm:sqref>
        </x14:dataValidation>
        <x14:dataValidation type="list" allowBlank="1" showInputMessage="1" showErrorMessage="1" xr:uid="{00000000-0002-0000-0600-000001000000}">
          <x14:formula1>
            <xm:f>Hoja2!$B$22:$B$24</xm:f>
          </x14:formula1>
          <xm:sqref>F10:F58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
  <dimension ref="B1:U169"/>
  <sheetViews>
    <sheetView topLeftCell="A133" zoomScaleNormal="100" workbookViewId="0">
      <selection activeCell="H98" sqref="H98"/>
    </sheetView>
  </sheetViews>
  <sheetFormatPr defaultColWidth="11.42578125" defaultRowHeight="12.75"/>
  <cols>
    <col min="1" max="1" width="3.7109375" style="13" customWidth="1"/>
    <col min="2" max="2" width="3.7109375" style="18" customWidth="1"/>
    <col min="3" max="3" width="3.42578125" style="13" customWidth="1"/>
    <col min="4" max="4" width="20.42578125" style="13" customWidth="1"/>
    <col min="5" max="5" width="11.7109375" style="13" bestFit="1" customWidth="1"/>
    <col min="6" max="6" width="4.5703125" style="13" customWidth="1"/>
    <col min="7" max="7" width="11.42578125" style="13"/>
    <col min="8" max="8" width="13.140625" style="13" customWidth="1"/>
    <col min="9" max="10" width="11.42578125" style="13"/>
    <col min="11" max="11" width="2.85546875" style="22" customWidth="1"/>
    <col min="12" max="12" width="13.5703125" style="27" hidden="1" customWidth="1"/>
    <col min="13" max="13" width="3.140625" style="22" customWidth="1"/>
    <col min="14" max="14" width="12.28515625" style="13" bestFit="1" customWidth="1"/>
    <col min="15" max="17" width="11.42578125" style="13"/>
    <col min="18" max="18" width="12.42578125" style="34" hidden="1" customWidth="1"/>
    <col min="19" max="19" width="16.28515625" style="110" bestFit="1" customWidth="1"/>
    <col min="20" max="16384" width="11.42578125" style="13"/>
  </cols>
  <sheetData>
    <row r="1" spans="2:19" s="22" customFormat="1" ht="15">
      <c r="B1" s="18"/>
      <c r="L1" s="48"/>
      <c r="M1" s="378" t="s">
        <v>393</v>
      </c>
      <c r="N1" s="378"/>
      <c r="O1" s="378"/>
      <c r="P1" s="378"/>
      <c r="Q1" s="378"/>
      <c r="R1" s="79"/>
      <c r="S1" s="91" t="s">
        <v>32</v>
      </c>
    </row>
    <row r="2" spans="2:19" ht="28.5" customHeight="1">
      <c r="B2" s="382" t="s">
        <v>558</v>
      </c>
      <c r="C2" s="382"/>
      <c r="D2" s="382"/>
      <c r="E2" s="382"/>
      <c r="F2" s="382"/>
      <c r="G2" s="382"/>
      <c r="H2" s="382"/>
      <c r="I2" s="382"/>
      <c r="J2" s="382"/>
      <c r="K2" s="382"/>
      <c r="L2" s="382"/>
      <c r="M2" s="383"/>
      <c r="N2" s="383"/>
      <c r="O2" s="383"/>
      <c r="P2" s="383"/>
      <c r="Q2" s="383"/>
      <c r="R2" s="28"/>
      <c r="S2" s="78" t="str">
        <f>IF(AND(S3="a",S7="a"),"Compliant","Not Compliant")</f>
        <v>Not Compliant</v>
      </c>
    </row>
    <row r="3" spans="2:19" ht="14.25" customHeight="1">
      <c r="B3" s="51"/>
      <c r="C3" s="211" t="s">
        <v>315</v>
      </c>
      <c r="D3" s="211"/>
      <c r="E3" s="211"/>
      <c r="F3" s="211"/>
      <c r="G3" s="211"/>
      <c r="H3" s="211"/>
      <c r="I3" s="211"/>
      <c r="J3" s="211"/>
      <c r="K3" s="211"/>
      <c r="L3" s="212" t="str">
        <f>IF(E5&lt;=E6,"Ok","No Ok")</f>
        <v>Ok</v>
      </c>
      <c r="M3" s="41"/>
      <c r="N3" s="390" t="str">
        <f>IF(L8=FALSE,"Documentation associated to the calculation of the values of DF and TF chronic","")</f>
        <v>Documentation associated to the calculation of the values of DF and TF chronic</v>
      </c>
      <c r="O3" s="390"/>
      <c r="P3" s="390"/>
      <c r="Q3" s="391"/>
      <c r="R3" s="29"/>
      <c r="S3" s="364" t="str">
        <f>IF(L5=TRUE,(IF(L3="Ok","a")),"r")</f>
        <v>r</v>
      </c>
    </row>
    <row r="4" spans="2:19" ht="6" customHeight="1">
      <c r="B4" s="53"/>
      <c r="C4" s="206"/>
      <c r="D4" s="206"/>
      <c r="E4" s="206"/>
      <c r="F4" s="206"/>
      <c r="G4" s="206"/>
      <c r="H4" s="206"/>
      <c r="I4" s="206"/>
      <c r="J4" s="206"/>
      <c r="K4" s="206"/>
      <c r="L4" s="213"/>
      <c r="M4" s="35"/>
      <c r="N4" s="376"/>
      <c r="O4" s="376"/>
      <c r="P4" s="376"/>
      <c r="Q4" s="392"/>
      <c r="R4" s="30"/>
      <c r="S4" s="365"/>
    </row>
    <row r="5" spans="2:19" s="15" customFormat="1" ht="23.25" customHeight="1">
      <c r="B5" s="54"/>
      <c r="C5" s="380" t="s">
        <v>313</v>
      </c>
      <c r="D5" s="380"/>
      <c r="E5" s="203">
        <f>'Results 1&amp;2'!F59</f>
        <v>0</v>
      </c>
      <c r="F5" s="207"/>
      <c r="G5" s="207"/>
      <c r="H5" s="207"/>
      <c r="I5" s="207"/>
      <c r="J5" s="207"/>
      <c r="K5" s="207"/>
      <c r="L5" s="214" t="b">
        <v>0</v>
      </c>
      <c r="M5" s="43"/>
      <c r="N5" s="376"/>
      <c r="O5" s="376"/>
      <c r="P5" s="376"/>
      <c r="Q5" s="392"/>
      <c r="R5" s="31"/>
      <c r="S5" s="365"/>
    </row>
    <row r="6" spans="2:19" s="15" customFormat="1" ht="23.25" customHeight="1">
      <c r="B6" s="54"/>
      <c r="C6" s="380" t="s">
        <v>314</v>
      </c>
      <c r="D6" s="380"/>
      <c r="E6" s="204">
        <v>12000</v>
      </c>
      <c r="F6" s="207"/>
      <c r="G6" s="207"/>
      <c r="H6" s="207"/>
      <c r="I6" s="207"/>
      <c r="J6" s="207"/>
      <c r="K6" s="207"/>
      <c r="L6" s="215"/>
      <c r="M6" s="44"/>
      <c r="N6" s="24"/>
      <c r="O6" s="24"/>
      <c r="P6" s="24"/>
      <c r="Q6" s="45"/>
      <c r="R6" s="31"/>
      <c r="S6" s="365"/>
    </row>
    <row r="7" spans="2:19" ht="6" customHeight="1">
      <c r="B7" s="53"/>
      <c r="C7" s="206"/>
      <c r="D7" s="206"/>
      <c r="E7" s="206"/>
      <c r="F7" s="206"/>
      <c r="G7" s="206"/>
      <c r="H7" s="206"/>
      <c r="I7" s="206"/>
      <c r="J7" s="206"/>
      <c r="K7" s="206"/>
      <c r="L7" s="213"/>
      <c r="M7" s="35"/>
      <c r="N7" s="18"/>
      <c r="O7" s="18"/>
      <c r="P7" s="18"/>
      <c r="Q7" s="46"/>
      <c r="R7" s="30"/>
      <c r="S7" s="364" t="str">
        <f>IF(L8=TRUE,"a",(IF(R8=TRUE,"a","r")))</f>
        <v>r</v>
      </c>
    </row>
    <row r="8" spans="2:19" s="22" customFormat="1">
      <c r="B8" s="53"/>
      <c r="C8" s="206" t="s">
        <v>391</v>
      </c>
      <c r="D8" s="206"/>
      <c r="E8" s="206"/>
      <c r="F8" s="206"/>
      <c r="G8" s="206"/>
      <c r="H8" s="206"/>
      <c r="I8" s="206"/>
      <c r="J8" s="206"/>
      <c r="K8" s="206"/>
      <c r="L8" s="213" t="b">
        <v>0</v>
      </c>
      <c r="M8" s="35"/>
      <c r="N8" s="395"/>
      <c r="O8" s="395"/>
      <c r="P8" s="395"/>
      <c r="Q8" s="396"/>
      <c r="R8" s="220" t="b">
        <v>0</v>
      </c>
      <c r="S8" s="365"/>
    </row>
    <row r="9" spans="2:19" ht="6" customHeight="1">
      <c r="B9" s="55"/>
      <c r="C9" s="210"/>
      <c r="D9" s="210"/>
      <c r="E9" s="210"/>
      <c r="F9" s="210"/>
      <c r="G9" s="210"/>
      <c r="H9" s="210"/>
      <c r="I9" s="210"/>
      <c r="J9" s="210"/>
      <c r="K9" s="210"/>
      <c r="L9" s="56"/>
      <c r="M9" s="47"/>
      <c r="N9" s="397"/>
      <c r="O9" s="397"/>
      <c r="P9" s="397"/>
      <c r="Q9" s="398"/>
      <c r="R9" s="32"/>
      <c r="S9" s="366"/>
    </row>
    <row r="10" spans="2:19" s="18" customFormat="1" ht="14.25">
      <c r="N10" s="36"/>
      <c r="O10" s="36"/>
      <c r="P10" s="36"/>
      <c r="Q10" s="36"/>
      <c r="R10" s="40"/>
      <c r="S10" s="39"/>
    </row>
    <row r="11" spans="2:19" ht="27" customHeight="1">
      <c r="B11" s="382" t="s">
        <v>559</v>
      </c>
      <c r="C11" s="382"/>
      <c r="D11" s="382"/>
      <c r="E11" s="382"/>
      <c r="F11" s="382"/>
      <c r="G11" s="382"/>
      <c r="H11" s="382"/>
      <c r="I11" s="382"/>
      <c r="J11" s="382"/>
      <c r="K11" s="382"/>
      <c r="L11" s="382"/>
      <c r="M11" s="384"/>
      <c r="N11" s="384"/>
      <c r="O11" s="384"/>
      <c r="P11" s="384"/>
      <c r="Q11" s="384"/>
      <c r="R11" s="382"/>
      <c r="S11" s="382"/>
    </row>
    <row r="12" spans="2:19" ht="15">
      <c r="B12" s="57" t="s">
        <v>316</v>
      </c>
      <c r="C12" s="58" t="s">
        <v>317</v>
      </c>
      <c r="D12" s="59"/>
      <c r="E12" s="59"/>
      <c r="F12" s="59"/>
      <c r="G12" s="59"/>
      <c r="H12" s="59"/>
      <c r="I12" s="59"/>
      <c r="J12" s="60"/>
      <c r="K12" s="61"/>
      <c r="L12" s="52"/>
      <c r="M12" s="68"/>
      <c r="N12" s="69"/>
      <c r="O12" s="69"/>
      <c r="P12" s="69"/>
      <c r="Q12" s="70"/>
      <c r="R12" s="62"/>
      <c r="S12" s="90" t="str">
        <f>IF(S13="a","Compliant","Not Compliant")</f>
        <v>Not Compliant</v>
      </c>
    </row>
    <row r="13" spans="2:19" ht="12.75" customHeight="1">
      <c r="B13" s="53"/>
      <c r="C13" s="381" t="s">
        <v>318</v>
      </c>
      <c r="D13" s="381"/>
      <c r="E13" s="381"/>
      <c r="F13" s="381"/>
      <c r="G13" s="381"/>
      <c r="H13" s="381"/>
      <c r="I13" s="381"/>
      <c r="J13" s="381"/>
      <c r="K13" s="205"/>
      <c r="L13" s="213" t="b">
        <v>0</v>
      </c>
      <c r="M13" s="35"/>
      <c r="N13" s="409"/>
      <c r="O13" s="409"/>
      <c r="P13" s="409"/>
      <c r="Q13" s="410"/>
      <c r="R13" s="29"/>
      <c r="S13" s="364" t="str">
        <f>IF(L13=TRUE,(IF(AND(L16="ok",L17="ok"),"a","r")),"")</f>
        <v/>
      </c>
    </row>
    <row r="14" spans="2:19" ht="12.75" customHeight="1">
      <c r="B14" s="53"/>
      <c r="C14" s="381"/>
      <c r="D14" s="381"/>
      <c r="E14" s="381"/>
      <c r="F14" s="381"/>
      <c r="G14" s="381"/>
      <c r="H14" s="381"/>
      <c r="I14" s="381"/>
      <c r="J14" s="381"/>
      <c r="K14" s="205"/>
      <c r="L14" s="213"/>
      <c r="M14" s="35"/>
      <c r="N14" s="409"/>
      <c r="O14" s="409"/>
      <c r="P14" s="409"/>
      <c r="Q14" s="410"/>
      <c r="R14" s="30"/>
      <c r="S14" s="365"/>
    </row>
    <row r="15" spans="2:19" s="22" customFormat="1" ht="6.6" customHeight="1">
      <c r="B15" s="53"/>
      <c r="C15" s="205"/>
      <c r="D15" s="205"/>
      <c r="E15" s="205"/>
      <c r="F15" s="205"/>
      <c r="G15" s="205"/>
      <c r="H15" s="205"/>
      <c r="I15" s="205"/>
      <c r="J15" s="205"/>
      <c r="K15" s="205"/>
      <c r="L15" s="213"/>
      <c r="M15" s="35"/>
      <c r="N15" s="18"/>
      <c r="O15" s="18"/>
      <c r="P15" s="18"/>
      <c r="Q15" s="46"/>
      <c r="R15" s="30"/>
      <c r="S15" s="365"/>
    </row>
    <row r="16" spans="2:19" ht="25.5" customHeight="1">
      <c r="B16" s="53"/>
      <c r="C16" s="380" t="s">
        <v>322</v>
      </c>
      <c r="D16" s="380"/>
      <c r="E16" s="203">
        <f>'Results 1&amp;2'!G59</f>
        <v>0</v>
      </c>
      <c r="F16" s="207"/>
      <c r="G16" s="380" t="s">
        <v>324</v>
      </c>
      <c r="H16" s="380"/>
      <c r="I16" s="203">
        <f>'Results 1&amp;2'!H59</f>
        <v>0</v>
      </c>
      <c r="J16" s="207"/>
      <c r="K16" s="208"/>
      <c r="L16" s="216" t="str">
        <f>IF(E16=0,"Ok","No Ok")</f>
        <v>Ok</v>
      </c>
      <c r="M16" s="43"/>
      <c r="N16" s="377"/>
      <c r="O16" s="377"/>
      <c r="P16" s="377"/>
      <c r="Q16" s="411"/>
      <c r="R16" s="30"/>
      <c r="S16" s="365"/>
    </row>
    <row r="17" spans="2:19" ht="25.5" customHeight="1">
      <c r="B17" s="53"/>
      <c r="C17" s="380" t="s">
        <v>321</v>
      </c>
      <c r="D17" s="380"/>
      <c r="E17" s="204">
        <v>0</v>
      </c>
      <c r="F17" s="207"/>
      <c r="G17" s="380" t="s">
        <v>323</v>
      </c>
      <c r="H17" s="380"/>
      <c r="I17" s="204">
        <v>0</v>
      </c>
      <c r="J17" s="207"/>
      <c r="K17" s="209"/>
      <c r="L17" s="216" t="str">
        <f>IF(I16=0,"Ok","No Ok")</f>
        <v>Ok</v>
      </c>
      <c r="M17" s="43"/>
      <c r="N17" s="18"/>
      <c r="O17" s="18"/>
      <c r="P17" s="18"/>
      <c r="Q17" s="46"/>
      <c r="R17" s="30"/>
      <c r="S17" s="365"/>
    </row>
    <row r="18" spans="2:19" ht="6.6" customHeight="1">
      <c r="B18" s="53"/>
      <c r="C18" s="206"/>
      <c r="D18" s="206"/>
      <c r="E18" s="206"/>
      <c r="F18" s="206"/>
      <c r="G18" s="206"/>
      <c r="H18" s="206"/>
      <c r="I18" s="206"/>
      <c r="J18" s="206"/>
      <c r="K18" s="206"/>
      <c r="L18" s="213"/>
      <c r="M18" s="35"/>
      <c r="N18" s="18"/>
      <c r="O18" s="18"/>
      <c r="P18" s="18"/>
      <c r="Q18" s="46"/>
      <c r="R18" s="33"/>
      <c r="S18" s="258"/>
    </row>
    <row r="19" spans="2:19" ht="15">
      <c r="B19" s="64" t="s">
        <v>319</v>
      </c>
      <c r="C19" s="65" t="s">
        <v>320</v>
      </c>
      <c r="D19" s="66"/>
      <c r="E19" s="66"/>
      <c r="F19" s="66"/>
      <c r="G19" s="66"/>
      <c r="H19" s="66"/>
      <c r="I19" s="66"/>
      <c r="J19" s="67"/>
      <c r="K19" s="67"/>
      <c r="L19" s="213"/>
      <c r="M19" s="71"/>
      <c r="N19" s="72"/>
      <c r="O19" s="18"/>
      <c r="P19" s="18"/>
      <c r="Q19" s="46"/>
      <c r="R19" s="30"/>
      <c r="S19" s="107" t="str">
        <f>IF(AND(S28="",S20="a",S25="a"),"Compliant",IF(AND(S20="a",S25="a",S28="a"),"Compliant","Not Compliant"))</f>
        <v>Not Compliant</v>
      </c>
    </row>
    <row r="20" spans="2:19" ht="13.5" customHeight="1">
      <c r="B20" s="53"/>
      <c r="C20" s="381" t="s">
        <v>359</v>
      </c>
      <c r="D20" s="381"/>
      <c r="E20" s="381"/>
      <c r="F20" s="381"/>
      <c r="G20" s="381"/>
      <c r="H20" s="381"/>
      <c r="I20" s="381"/>
      <c r="J20" s="381"/>
      <c r="K20" s="205"/>
      <c r="L20" s="213" t="b">
        <v>0</v>
      </c>
      <c r="M20" s="35"/>
      <c r="N20" s="362" t="str">
        <f>IF(L26=FALSE,"Documentation associated to the calculation of the values of biodegradability","")</f>
        <v>Documentation associated to the calculation of the values of biodegradability</v>
      </c>
      <c r="O20" s="362"/>
      <c r="P20" s="362"/>
      <c r="Q20" s="363"/>
      <c r="R20" s="29"/>
      <c r="S20" s="364" t="str">
        <f>IF(L20=TRUE,(IF(AND(L23="ok",L24="ok"),"a","r")),"")</f>
        <v/>
      </c>
    </row>
    <row r="21" spans="2:19" ht="12.75" customHeight="1">
      <c r="B21" s="53"/>
      <c r="C21" s="381"/>
      <c r="D21" s="381"/>
      <c r="E21" s="381"/>
      <c r="F21" s="381"/>
      <c r="G21" s="381"/>
      <c r="H21" s="381"/>
      <c r="I21" s="381"/>
      <c r="J21" s="381"/>
      <c r="K21" s="205"/>
      <c r="L21" s="213"/>
      <c r="M21" s="35"/>
      <c r="N21" s="362"/>
      <c r="O21" s="362"/>
      <c r="P21" s="362"/>
      <c r="Q21" s="363"/>
      <c r="R21" s="30"/>
      <c r="S21" s="365"/>
    </row>
    <row r="22" spans="2:19" ht="6.6" customHeight="1">
      <c r="B22" s="53"/>
      <c r="C22" s="206"/>
      <c r="D22" s="206"/>
      <c r="E22" s="206"/>
      <c r="F22" s="206"/>
      <c r="G22" s="206"/>
      <c r="H22" s="206"/>
      <c r="I22" s="206"/>
      <c r="J22" s="206"/>
      <c r="K22" s="206"/>
      <c r="L22" s="213"/>
      <c r="M22" s="35"/>
      <c r="N22" s="362"/>
      <c r="O22" s="362"/>
      <c r="P22" s="362"/>
      <c r="Q22" s="363"/>
      <c r="R22" s="30"/>
      <c r="S22" s="365"/>
    </row>
    <row r="23" spans="2:19" ht="25.5" customHeight="1">
      <c r="B23" s="53"/>
      <c r="C23" s="380" t="s">
        <v>322</v>
      </c>
      <c r="D23" s="380"/>
      <c r="E23" s="203">
        <f>'Results 1&amp;2'!I59</f>
        <v>0</v>
      </c>
      <c r="F23" s="207"/>
      <c r="G23" s="380" t="s">
        <v>324</v>
      </c>
      <c r="H23" s="380"/>
      <c r="I23" s="203">
        <f>'Results 1&amp;2'!J59</f>
        <v>0</v>
      </c>
      <c r="J23" s="207"/>
      <c r="K23" s="208"/>
      <c r="L23" s="216" t="str">
        <f>IF(E23&lt;=E24,"Ok","No Ok")</f>
        <v>Ok</v>
      </c>
      <c r="M23" s="43"/>
      <c r="N23" s="409" t="str">
        <f>IF(L28=TRUE,"Testing for adsorption/desorption in accordance with Guidelines 106 of the OECD","")</f>
        <v/>
      </c>
      <c r="O23" s="409"/>
      <c r="P23" s="409"/>
      <c r="Q23" s="410"/>
      <c r="R23" s="30"/>
      <c r="S23" s="365"/>
    </row>
    <row r="24" spans="2:19" ht="25.5" customHeight="1">
      <c r="B24" s="53"/>
      <c r="C24" s="380" t="s">
        <v>321</v>
      </c>
      <c r="D24" s="380"/>
      <c r="E24" s="204">
        <v>15</v>
      </c>
      <c r="F24" s="207"/>
      <c r="G24" s="380" t="s">
        <v>323</v>
      </c>
      <c r="H24" s="380"/>
      <c r="I24" s="204">
        <v>15</v>
      </c>
      <c r="J24" s="207"/>
      <c r="K24" s="209"/>
      <c r="L24" s="216" t="str">
        <f>IF(I23&lt;=I24,"Ok","No Ok")</f>
        <v>Ok</v>
      </c>
      <c r="M24" s="43"/>
      <c r="N24" s="18"/>
      <c r="O24" s="18"/>
      <c r="P24" s="18"/>
      <c r="Q24" s="46"/>
      <c r="R24" s="30"/>
      <c r="S24" s="365"/>
    </row>
    <row r="25" spans="2:19" s="22" customFormat="1" ht="6.6" customHeight="1">
      <c r="B25" s="53"/>
      <c r="C25" s="206"/>
      <c r="D25" s="206"/>
      <c r="E25" s="206"/>
      <c r="F25" s="206"/>
      <c r="G25" s="206"/>
      <c r="H25" s="206"/>
      <c r="I25" s="206"/>
      <c r="J25" s="206"/>
      <c r="K25" s="206"/>
      <c r="L25" s="213"/>
      <c r="M25" s="35"/>
      <c r="N25" s="18"/>
      <c r="O25" s="18"/>
      <c r="P25" s="18"/>
      <c r="Q25" s="46"/>
      <c r="R25" s="30"/>
      <c r="S25" s="364" t="str">
        <f>IF(L26=TRUE,"a",(IF(R26=TRUE,"a","r")))</f>
        <v>r</v>
      </c>
    </row>
    <row r="26" spans="2:19" s="22" customFormat="1" ht="14.25" customHeight="1">
      <c r="B26" s="53"/>
      <c r="C26" s="206" t="s">
        <v>391</v>
      </c>
      <c r="D26" s="206"/>
      <c r="E26" s="206"/>
      <c r="F26" s="206"/>
      <c r="G26" s="206"/>
      <c r="H26" s="206"/>
      <c r="I26" s="206"/>
      <c r="J26" s="206"/>
      <c r="K26" s="206"/>
      <c r="L26" s="213" t="b">
        <v>0</v>
      </c>
      <c r="M26" s="35"/>
      <c r="N26" s="395"/>
      <c r="O26" s="395"/>
      <c r="P26" s="395"/>
      <c r="Q26" s="396"/>
      <c r="R26" s="220" t="b">
        <v>0</v>
      </c>
      <c r="S26" s="365"/>
    </row>
    <row r="27" spans="2:19" s="22" customFormat="1" ht="6.6" customHeight="1">
      <c r="B27" s="53"/>
      <c r="C27" s="206"/>
      <c r="D27" s="206"/>
      <c r="E27" s="206"/>
      <c r="F27" s="206"/>
      <c r="G27" s="206"/>
      <c r="H27" s="206"/>
      <c r="I27" s="206"/>
      <c r="J27" s="206"/>
      <c r="K27" s="206"/>
      <c r="L27" s="213"/>
      <c r="M27" s="35"/>
      <c r="N27" s="395"/>
      <c r="O27" s="395"/>
      <c r="P27" s="395"/>
      <c r="Q27" s="396"/>
      <c r="R27" s="220"/>
      <c r="S27" s="366"/>
    </row>
    <row r="28" spans="2:19" s="22" customFormat="1">
      <c r="B28" s="53"/>
      <c r="C28" s="206" t="s">
        <v>392</v>
      </c>
      <c r="D28" s="206"/>
      <c r="E28" s="206"/>
      <c r="F28" s="206"/>
      <c r="G28" s="206"/>
      <c r="H28" s="206"/>
      <c r="I28" s="206"/>
      <c r="J28" s="206"/>
      <c r="K28" s="206"/>
      <c r="L28" s="213" t="b">
        <v>0</v>
      </c>
      <c r="M28" s="35"/>
      <c r="N28" s="395"/>
      <c r="O28" s="395"/>
      <c r="P28" s="395"/>
      <c r="Q28" s="396"/>
      <c r="R28" s="220" t="b">
        <v>0</v>
      </c>
      <c r="S28" s="364" t="str">
        <f>IF(N28="","",IF(L28=FALSE,"a",(IF(R28=TRUE,"a","r"))))</f>
        <v/>
      </c>
    </row>
    <row r="29" spans="2:19" ht="6.6" customHeight="1">
      <c r="B29" s="55"/>
      <c r="C29" s="210"/>
      <c r="D29" s="210"/>
      <c r="E29" s="210"/>
      <c r="F29" s="210"/>
      <c r="G29" s="210"/>
      <c r="H29" s="210"/>
      <c r="I29" s="210"/>
      <c r="J29" s="210"/>
      <c r="K29" s="210"/>
      <c r="L29" s="56"/>
      <c r="M29" s="47"/>
      <c r="N29" s="397"/>
      <c r="O29" s="397"/>
      <c r="P29" s="397"/>
      <c r="Q29" s="398"/>
      <c r="R29" s="33"/>
      <c r="S29" s="366"/>
    </row>
    <row r="30" spans="2:19" s="22" customFormat="1" ht="14.25">
      <c r="B30" s="18"/>
      <c r="L30" s="27"/>
      <c r="M30" s="35"/>
      <c r="N30" s="36"/>
      <c r="O30" s="36"/>
      <c r="P30" s="36"/>
      <c r="Q30" s="36"/>
      <c r="R30" s="77"/>
      <c r="S30" s="37"/>
    </row>
    <row r="31" spans="2:19" s="19" customFormat="1" ht="27" customHeight="1">
      <c r="B31" s="382" t="s">
        <v>560</v>
      </c>
      <c r="C31" s="382"/>
      <c r="D31" s="382"/>
      <c r="E31" s="382"/>
      <c r="F31" s="382"/>
      <c r="G31" s="382"/>
      <c r="H31" s="382"/>
      <c r="I31" s="382"/>
      <c r="J31" s="382"/>
      <c r="K31" s="382"/>
      <c r="L31" s="382"/>
      <c r="M31" s="382"/>
      <c r="N31" s="382"/>
      <c r="O31" s="382"/>
      <c r="P31" s="382"/>
      <c r="Q31" s="382"/>
      <c r="R31" s="382"/>
      <c r="S31" s="382"/>
    </row>
    <row r="32" spans="2:19" s="19" customFormat="1" ht="15">
      <c r="B32" s="50" t="s">
        <v>316</v>
      </c>
      <c r="C32" s="17" t="s">
        <v>354</v>
      </c>
      <c r="D32" s="16"/>
      <c r="E32" s="16"/>
      <c r="F32" s="16"/>
      <c r="G32" s="16"/>
      <c r="H32" s="16"/>
      <c r="I32" s="16"/>
      <c r="J32" s="23"/>
      <c r="K32" s="23"/>
      <c r="L32" s="27"/>
      <c r="M32" s="35"/>
      <c r="N32" s="18"/>
      <c r="O32" s="18"/>
      <c r="P32" s="18"/>
      <c r="Q32" s="18"/>
      <c r="R32" s="77"/>
      <c r="S32" s="244" t="str">
        <f>IF(AND(S33="Compliant",S49="Compliant",S53="Compliant",S58="Compliant",S64="Compliant",OR(S70="Compliant",S70="Does not apply"),OR(S76="Compliant",S76="Does not apply"),OR(S89="Compliant",S89="Does not apply")),"Complaint","Not Compliant")</f>
        <v>Not Compliant</v>
      </c>
    </row>
    <row r="33" spans="2:21" s="22" customFormat="1">
      <c r="B33" s="100" t="s">
        <v>365</v>
      </c>
      <c r="C33" s="101" t="s">
        <v>426</v>
      </c>
      <c r="D33" s="117"/>
      <c r="E33" s="117"/>
      <c r="F33" s="117"/>
      <c r="G33" s="117"/>
      <c r="H33" s="117"/>
      <c r="I33" s="117"/>
      <c r="J33" s="52"/>
      <c r="K33" s="112"/>
      <c r="L33" s="217"/>
      <c r="M33" s="35"/>
      <c r="N33" s="18"/>
      <c r="O33" s="18"/>
      <c r="P33" s="18"/>
      <c r="Q33" s="18"/>
      <c r="R33" s="77"/>
      <c r="S33" s="90" t="str">
        <f>IF(AND(S34="a",S37="y",S44="y"),"Compliant",(IF(AND(S34="a",S37="a",S44="y"),"Compliant",(IF(AND(S34="a",S37="a",S44="a"),"Compliant","Not Compliant")))))</f>
        <v>Not Compliant</v>
      </c>
    </row>
    <row r="34" spans="2:21" s="19" customFormat="1" ht="12.75" customHeight="1">
      <c r="B34" s="53"/>
      <c r="C34" s="358" t="s">
        <v>416</v>
      </c>
      <c r="D34" s="358"/>
      <c r="E34" s="358"/>
      <c r="F34" s="358"/>
      <c r="G34" s="358"/>
      <c r="H34" s="358"/>
      <c r="I34" s="358"/>
      <c r="J34" s="358"/>
      <c r="K34" s="113"/>
      <c r="L34" s="217" t="b">
        <v>0</v>
      </c>
      <c r="M34" s="35"/>
      <c r="N34" s="18" t="s">
        <v>417</v>
      </c>
      <c r="O34" s="18"/>
      <c r="P34" s="18"/>
      <c r="Q34" s="18"/>
      <c r="R34" s="218" t="b">
        <v>0</v>
      </c>
      <c r="S34" s="419" t="str">
        <f>IF(AND(L34=TRUE,R34=TRUE,R37=TRUE),"a","r")</f>
        <v>r</v>
      </c>
    </row>
    <row r="35" spans="2:21" s="19" customFormat="1">
      <c r="B35" s="53"/>
      <c r="C35" s="358"/>
      <c r="D35" s="358"/>
      <c r="E35" s="358"/>
      <c r="F35" s="358"/>
      <c r="G35" s="358"/>
      <c r="H35" s="358"/>
      <c r="I35" s="358"/>
      <c r="J35" s="358"/>
      <c r="K35" s="113"/>
      <c r="L35" s="217"/>
      <c r="M35" s="35"/>
      <c r="N35" s="18"/>
      <c r="O35" s="18"/>
      <c r="P35" s="18"/>
      <c r="Q35" s="18"/>
      <c r="R35" s="218"/>
      <c r="S35" s="419"/>
    </row>
    <row r="36" spans="2:21" s="19" customFormat="1" ht="6" customHeight="1">
      <c r="B36" s="53"/>
      <c r="C36" s="38"/>
      <c r="D36" s="38"/>
      <c r="E36" s="38"/>
      <c r="F36" s="38"/>
      <c r="G36" s="38"/>
      <c r="H36" s="38"/>
      <c r="I36" s="38"/>
      <c r="J36" s="38"/>
      <c r="K36" s="113"/>
      <c r="L36" s="217"/>
      <c r="M36" s="35"/>
      <c r="N36" s="18"/>
      <c r="O36" s="18"/>
      <c r="P36" s="18"/>
      <c r="Q36" s="18"/>
      <c r="R36" s="218"/>
      <c r="S36" s="419"/>
    </row>
    <row r="37" spans="2:21" s="22" customFormat="1">
      <c r="B37" s="53"/>
      <c r="C37" s="80" t="s">
        <v>418</v>
      </c>
      <c r="D37" s="80"/>
      <c r="E37" s="80"/>
      <c r="F37" s="80"/>
      <c r="G37" s="80"/>
      <c r="H37" s="80"/>
      <c r="I37" s="80"/>
      <c r="J37" s="80"/>
      <c r="K37" s="113"/>
      <c r="L37" s="217" t="b">
        <v>0</v>
      </c>
      <c r="M37" s="35"/>
      <c r="N37" s="18" t="s">
        <v>533</v>
      </c>
      <c r="O37" s="18"/>
      <c r="P37" s="18"/>
      <c r="Q37" s="18"/>
      <c r="R37" s="218" t="b">
        <v>1</v>
      </c>
      <c r="S37" s="419" t="str">
        <f>IF(L37=TRUE,"a","y")</f>
        <v>y</v>
      </c>
    </row>
    <row r="38" spans="2:21" s="22" customFormat="1" ht="6" customHeight="1">
      <c r="B38" s="53"/>
      <c r="C38" s="80"/>
      <c r="D38" s="80"/>
      <c r="E38" s="80"/>
      <c r="F38" s="80"/>
      <c r="G38" s="80"/>
      <c r="H38" s="80"/>
      <c r="I38" s="80"/>
      <c r="J38" s="80"/>
      <c r="K38" s="113"/>
      <c r="L38" s="217"/>
      <c r="M38" s="35"/>
      <c r="N38" s="18"/>
      <c r="O38" s="18"/>
      <c r="P38" s="18"/>
      <c r="Q38" s="18"/>
      <c r="R38" s="218"/>
      <c r="S38" s="419"/>
    </row>
    <row r="39" spans="2:21" s="22" customFormat="1" ht="25.5">
      <c r="B39" s="53"/>
      <c r="C39" s="80"/>
      <c r="D39" s="92" t="s">
        <v>419</v>
      </c>
      <c r="E39" s="93" t="s">
        <v>420</v>
      </c>
      <c r="F39" s="393" t="s">
        <v>421</v>
      </c>
      <c r="G39" s="393"/>
      <c r="H39" s="393"/>
      <c r="I39" s="403" t="s">
        <v>422</v>
      </c>
      <c r="J39" s="403"/>
      <c r="K39" s="113"/>
      <c r="L39" s="217"/>
      <c r="M39" s="35"/>
      <c r="N39" s="18"/>
      <c r="O39" s="18"/>
      <c r="P39" s="18"/>
      <c r="Q39" s="18"/>
      <c r="R39" s="77"/>
      <c r="S39" s="419"/>
      <c r="U39" s="99"/>
    </row>
    <row r="40" spans="2:21" s="22" customFormat="1" ht="15.75" customHeight="1">
      <c r="B40" s="53"/>
      <c r="C40" s="80"/>
      <c r="D40" s="415" t="s">
        <v>25</v>
      </c>
      <c r="E40" s="412" t="s">
        <v>423</v>
      </c>
      <c r="F40" s="388"/>
      <c r="G40" s="394"/>
      <c r="H40" s="389"/>
      <c r="I40" s="388"/>
      <c r="J40" s="389"/>
      <c r="K40" s="113"/>
      <c r="L40" s="217"/>
      <c r="M40" s="35"/>
      <c r="N40" s="18"/>
      <c r="O40" s="18"/>
      <c r="P40" s="18"/>
      <c r="Q40" s="18"/>
      <c r="R40" s="77"/>
      <c r="S40" s="419"/>
    </row>
    <row r="41" spans="2:21" s="22" customFormat="1" ht="15.75" customHeight="1">
      <c r="B41" s="53"/>
      <c r="C41" s="80"/>
      <c r="D41" s="416"/>
      <c r="E41" s="413"/>
      <c r="F41" s="388"/>
      <c r="G41" s="394"/>
      <c r="H41" s="389"/>
      <c r="I41" s="388"/>
      <c r="J41" s="389"/>
      <c r="K41" s="113"/>
      <c r="L41" s="217"/>
      <c r="M41" s="35"/>
      <c r="N41" s="18"/>
      <c r="O41" s="18"/>
      <c r="P41" s="18"/>
      <c r="Q41" s="18"/>
      <c r="R41" s="77"/>
      <c r="S41" s="419"/>
    </row>
    <row r="42" spans="2:21" s="22" customFormat="1" ht="15.75" customHeight="1">
      <c r="B42" s="53"/>
      <c r="C42" s="80"/>
      <c r="D42" s="417"/>
      <c r="E42" s="414"/>
      <c r="F42" s="388"/>
      <c r="G42" s="394"/>
      <c r="H42" s="389"/>
      <c r="I42" s="388"/>
      <c r="J42" s="389"/>
      <c r="K42" s="113"/>
      <c r="L42" s="217"/>
      <c r="M42" s="35"/>
      <c r="N42" s="18"/>
      <c r="O42" s="18"/>
      <c r="P42" s="18"/>
      <c r="Q42" s="18"/>
      <c r="R42" s="77"/>
      <c r="S42" s="419"/>
    </row>
    <row r="43" spans="2:21" s="22" customFormat="1" ht="6" customHeight="1">
      <c r="B43" s="53"/>
      <c r="C43" s="80"/>
      <c r="D43" s="80"/>
      <c r="E43" s="80"/>
      <c r="F43" s="80"/>
      <c r="G43" s="80"/>
      <c r="H43" s="80"/>
      <c r="I43" s="80"/>
      <c r="J43" s="80"/>
      <c r="K43" s="113"/>
      <c r="L43" s="217"/>
      <c r="M43" s="35"/>
      <c r="N43" s="18"/>
      <c r="O43" s="18"/>
      <c r="P43" s="18"/>
      <c r="Q43" s="18"/>
      <c r="R43" s="77"/>
      <c r="S43" s="419"/>
    </row>
    <row r="44" spans="2:21" s="22" customFormat="1">
      <c r="B44" s="53"/>
      <c r="C44" s="80" t="s">
        <v>424</v>
      </c>
      <c r="D44" s="80"/>
      <c r="E44" s="80"/>
      <c r="F44" s="80"/>
      <c r="G44" s="80"/>
      <c r="H44" s="80"/>
      <c r="I44" s="80"/>
      <c r="J44" s="80"/>
      <c r="K44" s="113"/>
      <c r="L44" s="217" t="b">
        <v>0</v>
      </c>
      <c r="M44" s="35"/>
      <c r="N44" s="18"/>
      <c r="O44" s="18"/>
      <c r="P44" s="18"/>
      <c r="Q44" s="18"/>
      <c r="R44" s="77"/>
      <c r="S44" s="419" t="str">
        <f>IF(L44=TRUE,"a","y")</f>
        <v>y</v>
      </c>
    </row>
    <row r="45" spans="2:21" s="22" customFormat="1" ht="6" customHeight="1">
      <c r="B45" s="53"/>
      <c r="C45" s="80"/>
      <c r="D45" s="80"/>
      <c r="E45" s="80"/>
      <c r="F45" s="80"/>
      <c r="G45" s="80"/>
      <c r="H45" s="80"/>
      <c r="I45" s="80"/>
      <c r="J45" s="80"/>
      <c r="K45" s="113"/>
      <c r="L45" s="217"/>
      <c r="M45" s="35"/>
      <c r="N45" s="18"/>
      <c r="O45" s="18"/>
      <c r="P45" s="18"/>
      <c r="Q45" s="18"/>
      <c r="R45" s="77"/>
      <c r="S45" s="419"/>
    </row>
    <row r="46" spans="2:21" s="22" customFormat="1" ht="27" customHeight="1">
      <c r="B46" s="53"/>
      <c r="C46" s="80"/>
      <c r="D46" s="399" t="s">
        <v>419</v>
      </c>
      <c r="E46" s="400"/>
      <c r="F46" s="393" t="s">
        <v>421</v>
      </c>
      <c r="G46" s="393"/>
      <c r="H46" s="393"/>
      <c r="I46" s="403" t="s">
        <v>422</v>
      </c>
      <c r="J46" s="403"/>
      <c r="K46" s="113"/>
      <c r="L46" s="217"/>
      <c r="M46" s="35"/>
      <c r="N46" s="18"/>
      <c r="O46" s="18"/>
      <c r="P46" s="18"/>
      <c r="Q46" s="18"/>
      <c r="R46" s="77"/>
      <c r="S46" s="419"/>
    </row>
    <row r="47" spans="2:21" s="22" customFormat="1" ht="52.5" customHeight="1">
      <c r="B47" s="53"/>
      <c r="C47" s="80"/>
      <c r="D47" s="401" t="s">
        <v>425</v>
      </c>
      <c r="E47" s="402"/>
      <c r="F47" s="388"/>
      <c r="G47" s="394"/>
      <c r="H47" s="389"/>
      <c r="I47" s="388"/>
      <c r="J47" s="389"/>
      <c r="K47" s="113"/>
      <c r="L47" s="217"/>
      <c r="M47" s="35"/>
      <c r="N47" s="18"/>
      <c r="O47" s="18"/>
      <c r="P47" s="18"/>
      <c r="Q47" s="18"/>
      <c r="R47" s="77"/>
      <c r="S47" s="419"/>
    </row>
    <row r="48" spans="2:21" s="22" customFormat="1" ht="6" customHeight="1">
      <c r="B48" s="53"/>
      <c r="C48" s="80"/>
      <c r="D48" s="80"/>
      <c r="E48" s="80"/>
      <c r="F48" s="80"/>
      <c r="G48" s="80"/>
      <c r="H48" s="80"/>
      <c r="I48" s="80"/>
      <c r="J48" s="80"/>
      <c r="K48" s="113"/>
      <c r="L48" s="217"/>
      <c r="M48" s="35"/>
      <c r="N48" s="18"/>
      <c r="O48" s="18"/>
      <c r="P48" s="18"/>
      <c r="Q48" s="18"/>
      <c r="R48" s="77"/>
      <c r="S48" s="419"/>
    </row>
    <row r="49" spans="2:19" s="22" customFormat="1">
      <c r="B49" s="81" t="s">
        <v>372</v>
      </c>
      <c r="C49" s="75" t="s">
        <v>427</v>
      </c>
      <c r="D49" s="80"/>
      <c r="E49" s="80"/>
      <c r="F49" s="80"/>
      <c r="G49" s="80"/>
      <c r="H49" s="80"/>
      <c r="I49" s="80"/>
      <c r="J49" s="80"/>
      <c r="K49" s="113"/>
      <c r="L49" s="217"/>
      <c r="M49" s="35"/>
      <c r="N49" s="18"/>
      <c r="O49" s="18"/>
      <c r="P49" s="18"/>
      <c r="Q49" s="18"/>
      <c r="R49" s="77"/>
      <c r="S49" s="90" t="str">
        <f>IF(S50="a","Compliant","Not Compliant")</f>
        <v>Not Compliant</v>
      </c>
    </row>
    <row r="50" spans="2:19" s="22" customFormat="1">
      <c r="B50" s="53"/>
      <c r="C50" s="358" t="s">
        <v>428</v>
      </c>
      <c r="D50" s="358"/>
      <c r="E50" s="358"/>
      <c r="F50" s="358"/>
      <c r="G50" s="358"/>
      <c r="H50" s="358"/>
      <c r="I50" s="358"/>
      <c r="J50" s="358"/>
      <c r="K50" s="113"/>
      <c r="L50" s="217" t="b">
        <v>0</v>
      </c>
      <c r="M50" s="35"/>
      <c r="N50" s="18"/>
      <c r="O50" s="18"/>
      <c r="P50" s="18"/>
      <c r="Q50" s="18"/>
      <c r="R50" s="77"/>
      <c r="S50" s="419" t="str">
        <f>IF(AND(L50=TRUE,R34=TRUE,R37=TRUE),"a","r")</f>
        <v>r</v>
      </c>
    </row>
    <row r="51" spans="2:19" s="22" customFormat="1">
      <c r="B51" s="53"/>
      <c r="C51" s="358"/>
      <c r="D51" s="358"/>
      <c r="E51" s="358"/>
      <c r="F51" s="358"/>
      <c r="G51" s="358"/>
      <c r="H51" s="358"/>
      <c r="I51" s="358"/>
      <c r="J51" s="358"/>
      <c r="K51" s="113"/>
      <c r="L51" s="217"/>
      <c r="M51" s="35"/>
      <c r="N51" s="18"/>
      <c r="O51" s="18"/>
      <c r="P51" s="18"/>
      <c r="Q51" s="18"/>
      <c r="R51" s="77"/>
      <c r="S51" s="419"/>
    </row>
    <row r="52" spans="2:19" s="22" customFormat="1" ht="6" customHeight="1">
      <c r="B52" s="53"/>
      <c r="C52" s="38"/>
      <c r="D52" s="38"/>
      <c r="E52" s="38"/>
      <c r="F52" s="38"/>
      <c r="G52" s="38"/>
      <c r="H52" s="38"/>
      <c r="I52" s="38"/>
      <c r="J52" s="38"/>
      <c r="K52" s="113"/>
      <c r="L52" s="217"/>
      <c r="M52" s="35"/>
      <c r="N52" s="18"/>
      <c r="O52" s="18"/>
      <c r="P52" s="18"/>
      <c r="Q52" s="18"/>
      <c r="R52" s="77"/>
      <c r="S52" s="419"/>
    </row>
    <row r="53" spans="2:19" s="22" customFormat="1">
      <c r="B53" s="81" t="s">
        <v>429</v>
      </c>
      <c r="C53" s="75" t="s">
        <v>430</v>
      </c>
      <c r="D53" s="80"/>
      <c r="E53" s="80"/>
      <c r="F53" s="80"/>
      <c r="G53" s="80"/>
      <c r="H53" s="80"/>
      <c r="I53" s="80"/>
      <c r="J53" s="80"/>
      <c r="K53" s="113"/>
      <c r="L53" s="217"/>
      <c r="M53" s="35"/>
      <c r="N53" s="18"/>
      <c r="O53" s="18"/>
      <c r="P53" s="18"/>
      <c r="Q53" s="18"/>
      <c r="R53" s="77"/>
      <c r="S53" s="90" t="str">
        <f>IF(S54="a","Compliant","Not Compliant")</f>
        <v>Not Compliant</v>
      </c>
    </row>
    <row r="54" spans="2:19" s="22" customFormat="1" ht="15" customHeight="1">
      <c r="B54" s="53"/>
      <c r="C54" s="359" t="s">
        <v>561</v>
      </c>
      <c r="D54" s="359"/>
      <c r="E54" s="359"/>
      <c r="F54" s="359"/>
      <c r="G54" s="359"/>
      <c r="H54" s="359"/>
      <c r="I54" s="359"/>
      <c r="J54" s="359"/>
      <c r="K54" s="113"/>
      <c r="L54" s="217" t="b">
        <v>0</v>
      </c>
      <c r="M54" s="35"/>
      <c r="N54" s="18"/>
      <c r="O54" s="18"/>
      <c r="P54" s="18"/>
      <c r="Q54" s="18"/>
      <c r="R54" s="77"/>
      <c r="S54" s="364" t="str">
        <f>IF(L54=TRUE,"a","r")</f>
        <v>r</v>
      </c>
    </row>
    <row r="55" spans="2:19" s="22" customFormat="1" ht="12.75" customHeight="1">
      <c r="B55" s="53"/>
      <c r="C55" s="359"/>
      <c r="D55" s="359"/>
      <c r="E55" s="359"/>
      <c r="F55" s="359"/>
      <c r="G55" s="359"/>
      <c r="H55" s="359"/>
      <c r="I55" s="359"/>
      <c r="J55" s="359"/>
      <c r="K55" s="113"/>
      <c r="L55" s="217"/>
      <c r="M55" s="35"/>
      <c r="N55" s="18"/>
      <c r="O55" s="18"/>
      <c r="P55" s="18"/>
      <c r="Q55" s="18"/>
      <c r="R55" s="77"/>
      <c r="S55" s="365"/>
    </row>
    <row r="56" spans="2:19" s="22" customFormat="1" ht="12.6" customHeight="1">
      <c r="B56" s="53"/>
      <c r="C56" s="359"/>
      <c r="D56" s="359"/>
      <c r="E56" s="359"/>
      <c r="F56" s="359"/>
      <c r="G56" s="359"/>
      <c r="H56" s="359"/>
      <c r="I56" s="359"/>
      <c r="J56" s="359"/>
      <c r="K56" s="113"/>
      <c r="L56" s="217"/>
      <c r="M56" s="35"/>
      <c r="N56" s="18"/>
      <c r="O56" s="18"/>
      <c r="P56" s="18"/>
      <c r="Q56" s="18"/>
      <c r="R56" s="77"/>
      <c r="S56" s="365"/>
    </row>
    <row r="57" spans="2:19" s="22" customFormat="1" ht="6.6" customHeight="1">
      <c r="B57" s="55"/>
      <c r="C57" s="114"/>
      <c r="D57" s="114"/>
      <c r="E57" s="114"/>
      <c r="F57" s="114"/>
      <c r="G57" s="114"/>
      <c r="H57" s="114"/>
      <c r="I57" s="114"/>
      <c r="J57" s="114"/>
      <c r="K57" s="116"/>
      <c r="L57" s="217"/>
      <c r="M57" s="35"/>
      <c r="N57" s="18"/>
      <c r="O57" s="18"/>
      <c r="P57" s="18"/>
      <c r="Q57" s="18"/>
      <c r="R57" s="77"/>
      <c r="S57" s="366"/>
    </row>
    <row r="58" spans="2:19" s="22" customFormat="1" ht="15">
      <c r="B58" s="102" t="s">
        <v>319</v>
      </c>
      <c r="C58" s="103" t="s">
        <v>431</v>
      </c>
      <c r="D58" s="104"/>
      <c r="E58" s="104"/>
      <c r="F58" s="104"/>
      <c r="G58" s="104"/>
      <c r="H58" s="104"/>
      <c r="I58" s="104"/>
      <c r="J58" s="105"/>
      <c r="K58" s="106"/>
      <c r="L58" s="217"/>
      <c r="M58" s="35"/>
      <c r="N58" s="18"/>
      <c r="O58" s="18"/>
      <c r="P58" s="18"/>
      <c r="Q58" s="18"/>
      <c r="R58" s="77"/>
      <c r="S58" s="245" t="str">
        <f>IF(AND(S59="a",S61="a"),"Compliant","Not Compliant")</f>
        <v>Not Compliant</v>
      </c>
    </row>
    <row r="59" spans="2:19" s="22" customFormat="1">
      <c r="B59" s="51"/>
      <c r="C59" s="357" t="s">
        <v>562</v>
      </c>
      <c r="D59" s="357"/>
      <c r="E59" s="357"/>
      <c r="F59" s="357"/>
      <c r="G59" s="357"/>
      <c r="H59" s="357"/>
      <c r="I59" s="357"/>
      <c r="J59" s="357"/>
      <c r="K59" s="112"/>
      <c r="L59" s="217" t="b">
        <v>0</v>
      </c>
      <c r="M59" s="35"/>
      <c r="N59" s="18"/>
      <c r="O59" s="18"/>
      <c r="P59" s="18"/>
      <c r="Q59" s="18"/>
      <c r="R59" s="77"/>
      <c r="S59" s="419" t="str">
        <f>IF(L59=TRUE,"a","r")</f>
        <v>r</v>
      </c>
    </row>
    <row r="60" spans="2:19" s="22" customFormat="1">
      <c r="B60" s="53"/>
      <c r="C60" s="358"/>
      <c r="D60" s="358"/>
      <c r="E60" s="358"/>
      <c r="F60" s="358"/>
      <c r="G60" s="358"/>
      <c r="H60" s="358"/>
      <c r="I60" s="358"/>
      <c r="J60" s="358"/>
      <c r="K60" s="113"/>
      <c r="L60" s="217"/>
      <c r="M60" s="35"/>
      <c r="N60" s="18"/>
      <c r="O60" s="18"/>
      <c r="P60" s="18"/>
      <c r="Q60" s="18"/>
      <c r="R60" s="77"/>
      <c r="S60" s="419"/>
    </row>
    <row r="61" spans="2:19" s="22" customFormat="1" ht="6" customHeight="1">
      <c r="B61" s="53"/>
      <c r="C61" s="80"/>
      <c r="D61" s="80"/>
      <c r="E61" s="80"/>
      <c r="F61" s="80"/>
      <c r="G61" s="80"/>
      <c r="H61" s="80"/>
      <c r="I61" s="80"/>
      <c r="J61" s="80"/>
      <c r="K61" s="113"/>
      <c r="L61" s="217"/>
      <c r="M61" s="35"/>
      <c r="N61" s="18"/>
      <c r="O61" s="18"/>
      <c r="P61" s="18"/>
      <c r="Q61" s="18"/>
      <c r="R61" s="77"/>
      <c r="S61" s="419" t="str">
        <f>IF(L62=TRUE,"a","r")</f>
        <v>r</v>
      </c>
    </row>
    <row r="62" spans="2:19" s="22" customFormat="1">
      <c r="B62" s="53"/>
      <c r="C62" s="80" t="s">
        <v>432</v>
      </c>
      <c r="D62" s="80"/>
      <c r="E62" s="80"/>
      <c r="F62" s="80"/>
      <c r="G62" s="80"/>
      <c r="H62" s="80"/>
      <c r="I62" s="80"/>
      <c r="J62" s="80"/>
      <c r="K62" s="113"/>
      <c r="L62" s="217" t="b">
        <v>0</v>
      </c>
      <c r="M62" s="35"/>
      <c r="N62" s="18"/>
      <c r="O62" s="18"/>
      <c r="P62" s="18"/>
      <c r="Q62" s="18"/>
      <c r="R62" s="77"/>
      <c r="S62" s="419"/>
    </row>
    <row r="63" spans="2:19" s="22" customFormat="1" ht="6" customHeight="1">
      <c r="B63" s="53"/>
      <c r="C63" s="80"/>
      <c r="D63" s="80"/>
      <c r="E63" s="80"/>
      <c r="F63" s="80"/>
      <c r="G63" s="80"/>
      <c r="H63" s="80"/>
      <c r="I63" s="80"/>
      <c r="J63" s="80"/>
      <c r="K63" s="113"/>
      <c r="L63" s="217"/>
      <c r="M63" s="35"/>
      <c r="N63" s="18"/>
      <c r="O63" s="18"/>
      <c r="P63" s="18"/>
      <c r="Q63" s="18"/>
      <c r="R63" s="77"/>
      <c r="S63" s="419"/>
    </row>
    <row r="64" spans="2:19" s="22" customFormat="1" ht="15">
      <c r="B64" s="102" t="s">
        <v>363</v>
      </c>
      <c r="C64" s="103" t="s">
        <v>433</v>
      </c>
      <c r="D64" s="104"/>
      <c r="E64" s="104"/>
      <c r="F64" s="104"/>
      <c r="G64" s="104"/>
      <c r="H64" s="104"/>
      <c r="I64" s="104"/>
      <c r="J64" s="105"/>
      <c r="K64" s="106"/>
      <c r="L64" s="217"/>
      <c r="M64" s="35"/>
      <c r="N64" s="18"/>
      <c r="O64" s="18"/>
      <c r="P64" s="18"/>
      <c r="Q64" s="18"/>
      <c r="R64" s="77"/>
      <c r="S64" s="90" t="str">
        <f>IF(AND(S65="a",S67="a"),"Compliant","Not Compliant")</f>
        <v>Not Compliant</v>
      </c>
    </row>
    <row r="65" spans="2:19" s="22" customFormat="1">
      <c r="B65" s="51"/>
      <c r="C65" s="357" t="s">
        <v>434</v>
      </c>
      <c r="D65" s="357"/>
      <c r="E65" s="357"/>
      <c r="F65" s="357"/>
      <c r="G65" s="357"/>
      <c r="H65" s="357"/>
      <c r="I65" s="357"/>
      <c r="J65" s="357"/>
      <c r="K65" s="112"/>
      <c r="L65" s="217" t="b">
        <v>0</v>
      </c>
      <c r="M65" s="35"/>
      <c r="N65" s="18"/>
      <c r="O65" s="18"/>
      <c r="P65" s="18"/>
      <c r="Q65" s="18"/>
      <c r="R65" s="77"/>
      <c r="S65" s="364" t="str">
        <f>IF(L65=TRUE,"a","r")</f>
        <v>r</v>
      </c>
    </row>
    <row r="66" spans="2:19" s="22" customFormat="1">
      <c r="B66" s="53"/>
      <c r="C66" s="358"/>
      <c r="D66" s="358"/>
      <c r="E66" s="358"/>
      <c r="F66" s="358"/>
      <c r="G66" s="358"/>
      <c r="H66" s="358"/>
      <c r="I66" s="358"/>
      <c r="J66" s="358"/>
      <c r="K66" s="113"/>
      <c r="L66" s="217"/>
      <c r="M66" s="35"/>
      <c r="N66" s="18"/>
      <c r="O66" s="18"/>
      <c r="P66" s="18"/>
      <c r="Q66" s="18"/>
      <c r="R66" s="77"/>
      <c r="S66" s="366"/>
    </row>
    <row r="67" spans="2:19" s="22" customFormat="1" ht="6" customHeight="1">
      <c r="B67" s="53"/>
      <c r="C67" s="80"/>
      <c r="D67" s="80"/>
      <c r="E67" s="80"/>
      <c r="F67" s="80"/>
      <c r="G67" s="80"/>
      <c r="H67" s="80"/>
      <c r="I67" s="80"/>
      <c r="J67" s="80"/>
      <c r="K67" s="113"/>
      <c r="L67" s="217"/>
      <c r="M67" s="35"/>
      <c r="N67" s="18"/>
      <c r="O67" s="18"/>
      <c r="P67" s="18"/>
      <c r="Q67" s="18"/>
      <c r="R67" s="77"/>
      <c r="S67" s="364" t="str">
        <f>IF(L68=TRUE,"a","r")</f>
        <v>r</v>
      </c>
    </row>
    <row r="68" spans="2:19" s="22" customFormat="1">
      <c r="B68" s="53"/>
      <c r="C68" s="80" t="s">
        <v>435</v>
      </c>
      <c r="D68" s="80"/>
      <c r="E68" s="80"/>
      <c r="F68" s="80"/>
      <c r="G68" s="80"/>
      <c r="H68" s="80"/>
      <c r="I68" s="80"/>
      <c r="J68" s="80"/>
      <c r="K68" s="113"/>
      <c r="L68" s="217" t="b">
        <v>0</v>
      </c>
      <c r="M68" s="35"/>
      <c r="N68" s="18"/>
      <c r="O68" s="18"/>
      <c r="P68" s="18"/>
      <c r="Q68" s="18"/>
      <c r="R68" s="77"/>
      <c r="S68" s="365"/>
    </row>
    <row r="69" spans="2:19" s="22" customFormat="1" ht="6" customHeight="1">
      <c r="B69" s="55"/>
      <c r="C69" s="114"/>
      <c r="D69" s="114"/>
      <c r="E69" s="114"/>
      <c r="F69" s="114"/>
      <c r="G69" s="114"/>
      <c r="H69" s="114"/>
      <c r="I69" s="114"/>
      <c r="J69" s="114"/>
      <c r="K69" s="116"/>
      <c r="L69" s="217"/>
      <c r="M69" s="35"/>
      <c r="N69" s="18"/>
      <c r="O69" s="18"/>
      <c r="P69" s="18"/>
      <c r="Q69" s="18"/>
      <c r="R69" s="77"/>
      <c r="S69" s="366"/>
    </row>
    <row r="70" spans="2:19" s="22" customFormat="1" ht="15">
      <c r="B70" s="102" t="s">
        <v>376</v>
      </c>
      <c r="C70" s="103" t="s">
        <v>436</v>
      </c>
      <c r="D70" s="104"/>
      <c r="E70" s="104"/>
      <c r="F70" s="104"/>
      <c r="G70" s="104"/>
      <c r="H70" s="104"/>
      <c r="I70" s="104"/>
      <c r="J70" s="105"/>
      <c r="K70" s="106"/>
      <c r="L70" s="217"/>
      <c r="M70" s="35"/>
      <c r="N70" s="18"/>
      <c r="O70" s="18"/>
      <c r="P70" s="18"/>
      <c r="Q70" s="18"/>
      <c r="R70" s="77"/>
      <c r="S70" s="90" t="str">
        <f>IF(S71="Does not apply","Does not apply",IF(S73="a","Compliant","Not Compliant"))</f>
        <v>Not Compliant</v>
      </c>
    </row>
    <row r="71" spans="2:19" s="22" customFormat="1">
      <c r="B71" s="51"/>
      <c r="C71" s="111" t="s">
        <v>437</v>
      </c>
      <c r="D71" s="111"/>
      <c r="E71" s="111"/>
      <c r="F71" s="111"/>
      <c r="G71" s="111"/>
      <c r="H71" s="111"/>
      <c r="I71" s="111"/>
      <c r="J71" s="111"/>
      <c r="K71" s="112"/>
      <c r="L71" s="217" t="b">
        <v>0</v>
      </c>
      <c r="M71" s="35"/>
      <c r="N71" s="18"/>
      <c r="O71" s="18"/>
      <c r="P71" s="18"/>
      <c r="Q71" s="18"/>
      <c r="R71" s="77"/>
      <c r="S71" s="373" t="str">
        <f>IF(L71=TRUE,"Does not apply","-")</f>
        <v>-</v>
      </c>
    </row>
    <row r="72" spans="2:19" s="22" customFormat="1" ht="6" customHeight="1">
      <c r="B72" s="53"/>
      <c r="C72" s="80"/>
      <c r="D72" s="80"/>
      <c r="E72" s="80"/>
      <c r="F72" s="80"/>
      <c r="G72" s="80"/>
      <c r="H72" s="80"/>
      <c r="I72" s="80"/>
      <c r="J72" s="80"/>
      <c r="K72" s="113"/>
      <c r="L72" s="217"/>
      <c r="M72" s="35"/>
      <c r="N72" s="18"/>
      <c r="O72" s="18"/>
      <c r="P72" s="18"/>
      <c r="Q72" s="18"/>
      <c r="R72" s="77"/>
      <c r="S72" s="375"/>
    </row>
    <row r="73" spans="2:19" s="22" customFormat="1">
      <c r="B73" s="53"/>
      <c r="C73" s="358" t="s">
        <v>438</v>
      </c>
      <c r="D73" s="358"/>
      <c r="E73" s="358"/>
      <c r="F73" s="358"/>
      <c r="G73" s="358"/>
      <c r="H73" s="358"/>
      <c r="I73" s="358"/>
      <c r="J73" s="358"/>
      <c r="K73" s="113"/>
      <c r="L73" s="217" t="b">
        <v>0</v>
      </c>
      <c r="M73" s="35"/>
      <c r="N73" s="18"/>
      <c r="O73" s="18"/>
      <c r="P73" s="18"/>
      <c r="Q73" s="18"/>
      <c r="R73" s="77"/>
      <c r="S73" s="364" t="str">
        <f>IF(L73=TRUE,"a","r")</f>
        <v>r</v>
      </c>
    </row>
    <row r="74" spans="2:19" s="22" customFormat="1">
      <c r="B74" s="53"/>
      <c r="C74" s="358"/>
      <c r="D74" s="358"/>
      <c r="E74" s="358"/>
      <c r="F74" s="358"/>
      <c r="G74" s="358"/>
      <c r="H74" s="358"/>
      <c r="I74" s="358"/>
      <c r="J74" s="358"/>
      <c r="K74" s="113"/>
      <c r="L74" s="217"/>
      <c r="M74" s="35"/>
      <c r="N74" s="18"/>
      <c r="O74" s="18"/>
      <c r="P74" s="18"/>
      <c r="Q74" s="18"/>
      <c r="R74" s="77"/>
      <c r="S74" s="365"/>
    </row>
    <row r="75" spans="2:19" s="22" customFormat="1" ht="6" customHeight="1">
      <c r="B75" s="55"/>
      <c r="C75" s="114"/>
      <c r="D75" s="114"/>
      <c r="E75" s="114"/>
      <c r="F75" s="114"/>
      <c r="G75" s="114"/>
      <c r="H75" s="114"/>
      <c r="I75" s="114"/>
      <c r="J75" s="114"/>
      <c r="K75" s="116"/>
      <c r="L75" s="217"/>
      <c r="M75" s="35"/>
      <c r="N75" s="18"/>
      <c r="O75" s="18"/>
      <c r="P75" s="18"/>
      <c r="Q75" s="18"/>
      <c r="R75" s="77"/>
      <c r="S75" s="366"/>
    </row>
    <row r="76" spans="2:19" s="22" customFormat="1" ht="15">
      <c r="B76" s="102" t="s">
        <v>439</v>
      </c>
      <c r="C76" s="103" t="s">
        <v>440</v>
      </c>
      <c r="D76" s="104"/>
      <c r="E76" s="104"/>
      <c r="F76" s="104"/>
      <c r="G76" s="104"/>
      <c r="H76" s="104"/>
      <c r="I76" s="104"/>
      <c r="J76" s="105"/>
      <c r="K76" s="106"/>
      <c r="L76" s="217"/>
      <c r="M76" s="35"/>
      <c r="N76" s="18"/>
      <c r="O76" s="18"/>
      <c r="P76" s="18"/>
      <c r="Q76" s="18"/>
      <c r="R76" s="77"/>
      <c r="S76" s="90" t="str">
        <f>IF(S77="Does not apply","Does not apply",IF(AND(S79="a",S82="a"),"Compliant","Not Compliant"))</f>
        <v>Not Compliant</v>
      </c>
    </row>
    <row r="77" spans="2:19" s="19" customFormat="1">
      <c r="B77" s="51"/>
      <c r="C77" s="111" t="s">
        <v>445</v>
      </c>
      <c r="D77" s="111"/>
      <c r="E77" s="111"/>
      <c r="F77" s="111"/>
      <c r="G77" s="111"/>
      <c r="H77" s="111"/>
      <c r="I77" s="111"/>
      <c r="J77" s="111"/>
      <c r="K77" s="112"/>
      <c r="L77" s="217" t="b">
        <v>0</v>
      </c>
      <c r="M77" s="35"/>
      <c r="N77" s="18"/>
      <c r="O77" s="18"/>
      <c r="P77" s="18"/>
      <c r="Q77" s="18"/>
      <c r="R77" s="77"/>
      <c r="S77" s="373" t="str">
        <f>IF(L77=TRUE,"Does not apply","-")</f>
        <v>-</v>
      </c>
    </row>
    <row r="78" spans="2:19" s="22" customFormat="1" ht="6" customHeight="1">
      <c r="B78" s="53"/>
      <c r="C78" s="80"/>
      <c r="D78" s="80"/>
      <c r="E78" s="80"/>
      <c r="F78" s="80"/>
      <c r="G78" s="80"/>
      <c r="H78" s="80"/>
      <c r="I78" s="80"/>
      <c r="J78" s="80"/>
      <c r="K78" s="113"/>
      <c r="L78" s="217"/>
      <c r="M78" s="35"/>
      <c r="N78" s="18"/>
      <c r="O78" s="18"/>
      <c r="P78" s="18"/>
      <c r="Q78" s="18"/>
      <c r="R78" s="77"/>
      <c r="S78" s="375"/>
    </row>
    <row r="79" spans="2:19" s="22" customFormat="1">
      <c r="B79" s="53"/>
      <c r="C79" s="358" t="s">
        <v>441</v>
      </c>
      <c r="D79" s="358"/>
      <c r="E79" s="358"/>
      <c r="F79" s="358"/>
      <c r="G79" s="358"/>
      <c r="H79" s="358"/>
      <c r="I79" s="358"/>
      <c r="J79" s="358"/>
      <c r="K79" s="113"/>
      <c r="L79" s="217" t="b">
        <v>0</v>
      </c>
      <c r="M79" s="35"/>
      <c r="N79" s="18"/>
      <c r="O79" s="18"/>
      <c r="P79" s="18"/>
      <c r="Q79" s="18"/>
      <c r="R79" s="77"/>
      <c r="S79" s="364" t="str">
        <f>IF(L79=TRUE,"a","r")</f>
        <v>r</v>
      </c>
    </row>
    <row r="80" spans="2:19" s="22" customFormat="1">
      <c r="B80" s="53"/>
      <c r="C80" s="358"/>
      <c r="D80" s="358"/>
      <c r="E80" s="358"/>
      <c r="F80" s="358"/>
      <c r="G80" s="358"/>
      <c r="H80" s="358"/>
      <c r="I80" s="358"/>
      <c r="J80" s="358"/>
      <c r="K80" s="113"/>
      <c r="L80" s="217"/>
      <c r="M80" s="35"/>
      <c r="N80" s="18"/>
      <c r="O80" s="18"/>
      <c r="P80" s="18"/>
      <c r="Q80" s="18"/>
      <c r="R80" s="77"/>
      <c r="S80" s="365"/>
    </row>
    <row r="81" spans="2:19" s="22" customFormat="1" ht="6" customHeight="1">
      <c r="B81" s="53"/>
      <c r="C81" s="80"/>
      <c r="D81" s="80"/>
      <c r="E81" s="80"/>
      <c r="F81" s="80"/>
      <c r="G81" s="80"/>
      <c r="H81" s="80"/>
      <c r="I81" s="80"/>
      <c r="J81" s="80"/>
      <c r="K81" s="113"/>
      <c r="L81" s="217"/>
      <c r="M81" s="35"/>
      <c r="N81" s="18"/>
      <c r="O81" s="18"/>
      <c r="P81" s="18"/>
      <c r="Q81" s="18"/>
      <c r="R81" s="77"/>
      <c r="S81" s="366"/>
    </row>
    <row r="82" spans="2:19" s="22" customFormat="1">
      <c r="B82" s="53"/>
      <c r="C82" s="80" t="s">
        <v>442</v>
      </c>
      <c r="D82" s="80"/>
      <c r="E82" s="80"/>
      <c r="F82" s="80"/>
      <c r="G82" s="80"/>
      <c r="H82" s="80"/>
      <c r="I82" s="80"/>
      <c r="J82" s="80"/>
      <c r="K82" s="113"/>
      <c r="L82" s="217" t="b">
        <v>0</v>
      </c>
      <c r="M82" s="35"/>
      <c r="N82" s="18"/>
      <c r="O82" s="18"/>
      <c r="P82" s="18"/>
      <c r="Q82" s="18"/>
      <c r="R82" s="77"/>
      <c r="S82" s="364" t="str">
        <f>IF(L82=TRUE,"a","r")</f>
        <v>r</v>
      </c>
    </row>
    <row r="83" spans="2:19" s="22" customFormat="1">
      <c r="B83" s="53"/>
      <c r="C83" s="80"/>
      <c r="D83" s="94" t="s">
        <v>444</v>
      </c>
      <c r="E83" s="193"/>
      <c r="F83" s="80" t="s">
        <v>452</v>
      </c>
      <c r="G83" s="94" t="s">
        <v>443</v>
      </c>
      <c r="H83" s="193"/>
      <c r="I83" s="80"/>
      <c r="J83" s="80"/>
      <c r="K83" s="113"/>
      <c r="L83" s="217"/>
      <c r="M83" s="35"/>
      <c r="N83" s="18"/>
      <c r="O83" s="18"/>
      <c r="P83" s="18"/>
      <c r="Q83" s="18"/>
      <c r="R83" s="77"/>
      <c r="S83" s="365"/>
    </row>
    <row r="84" spans="2:19" s="22" customFormat="1" ht="6" customHeight="1">
      <c r="B84" s="53"/>
      <c r="C84" s="80"/>
      <c r="D84" s="38"/>
      <c r="E84" s="38"/>
      <c r="F84" s="80"/>
      <c r="G84" s="80"/>
      <c r="H84" s="80"/>
      <c r="I84" s="80"/>
      <c r="J84" s="80"/>
      <c r="K84" s="113"/>
      <c r="L84" s="217"/>
      <c r="M84" s="35"/>
      <c r="N84" s="18"/>
      <c r="O84" s="18"/>
      <c r="P84" s="18"/>
      <c r="Q84" s="18"/>
      <c r="R84" s="77"/>
      <c r="S84" s="365"/>
    </row>
    <row r="85" spans="2:19" s="22" customFormat="1">
      <c r="B85" s="53"/>
      <c r="C85" s="80"/>
      <c r="D85" s="94" t="s">
        <v>444</v>
      </c>
      <c r="E85" s="193"/>
      <c r="F85" s="80" t="s">
        <v>452</v>
      </c>
      <c r="G85" s="94" t="s">
        <v>443</v>
      </c>
      <c r="H85" s="193"/>
      <c r="I85" s="80"/>
      <c r="J85" s="80"/>
      <c r="K85" s="113"/>
      <c r="L85" s="217"/>
      <c r="M85" s="35"/>
      <c r="N85" s="18"/>
      <c r="O85" s="18"/>
      <c r="P85" s="18"/>
      <c r="Q85" s="18"/>
      <c r="R85" s="77"/>
      <c r="S85" s="365"/>
    </row>
    <row r="86" spans="2:19" s="22" customFormat="1" ht="6" customHeight="1">
      <c r="B86" s="53"/>
      <c r="C86" s="80"/>
      <c r="D86" s="38"/>
      <c r="E86" s="38"/>
      <c r="F86" s="80"/>
      <c r="G86" s="80"/>
      <c r="H86" s="80"/>
      <c r="I86" s="80"/>
      <c r="J86" s="80"/>
      <c r="K86" s="113"/>
      <c r="L86" s="217"/>
      <c r="M86" s="35"/>
      <c r="N86" s="18"/>
      <c r="O86" s="18"/>
      <c r="P86" s="18"/>
      <c r="Q86" s="18"/>
      <c r="R86" s="77"/>
      <c r="S86" s="365"/>
    </row>
    <row r="87" spans="2:19" s="22" customFormat="1">
      <c r="B87" s="53"/>
      <c r="C87" s="80"/>
      <c r="D87" s="94" t="s">
        <v>444</v>
      </c>
      <c r="E87" s="193"/>
      <c r="F87" s="80" t="s">
        <v>452</v>
      </c>
      <c r="G87" s="94" t="s">
        <v>443</v>
      </c>
      <c r="H87" s="193"/>
      <c r="I87" s="80"/>
      <c r="J87" s="80"/>
      <c r="K87" s="113"/>
      <c r="L87" s="217"/>
      <c r="M87" s="35"/>
      <c r="N87" s="18"/>
      <c r="O87" s="18"/>
      <c r="P87" s="18"/>
      <c r="Q87" s="18"/>
      <c r="R87" s="77"/>
      <c r="S87" s="365"/>
    </row>
    <row r="88" spans="2:19" s="22" customFormat="1" ht="6" customHeight="1">
      <c r="B88" s="55"/>
      <c r="C88" s="114"/>
      <c r="D88" s="114"/>
      <c r="E88" s="114"/>
      <c r="F88" s="114"/>
      <c r="G88" s="114"/>
      <c r="H88" s="114"/>
      <c r="I88" s="114"/>
      <c r="J88" s="114"/>
      <c r="K88" s="116"/>
      <c r="L88" s="217"/>
      <c r="M88" s="35"/>
      <c r="N88" s="18"/>
      <c r="O88" s="18"/>
      <c r="P88" s="18"/>
      <c r="Q88" s="18"/>
      <c r="R88" s="77"/>
      <c r="S88" s="257"/>
    </row>
    <row r="89" spans="2:19" s="22" customFormat="1" ht="15">
      <c r="B89" s="102" t="s">
        <v>446</v>
      </c>
      <c r="C89" s="103" t="s">
        <v>447</v>
      </c>
      <c r="D89" s="104"/>
      <c r="E89" s="104"/>
      <c r="F89" s="104"/>
      <c r="G89" s="104"/>
      <c r="H89" s="104"/>
      <c r="I89" s="104"/>
      <c r="J89" s="105"/>
      <c r="K89" s="106"/>
      <c r="L89" s="217"/>
      <c r="M89" s="35"/>
      <c r="N89" s="18"/>
      <c r="O89" s="18"/>
      <c r="P89" s="18"/>
      <c r="Q89" s="18"/>
      <c r="R89" s="77"/>
      <c r="S89" s="90" t="str">
        <f>IF(S90="Does not apply","Does not apply",IF(AND(S92="a",S95="a"),"Compliant","Not Compliant"))</f>
        <v>Not Compliant</v>
      </c>
    </row>
    <row r="90" spans="2:19" s="22" customFormat="1">
      <c r="B90" s="51"/>
      <c r="C90" s="111" t="s">
        <v>448</v>
      </c>
      <c r="D90" s="111"/>
      <c r="E90" s="111"/>
      <c r="F90" s="111"/>
      <c r="G90" s="111"/>
      <c r="H90" s="111"/>
      <c r="I90" s="111"/>
      <c r="J90" s="111"/>
      <c r="K90" s="112"/>
      <c r="L90" s="217" t="b">
        <v>0</v>
      </c>
      <c r="M90" s="35"/>
      <c r="N90" s="18"/>
      <c r="O90" s="18"/>
      <c r="P90" s="18"/>
      <c r="Q90" s="18"/>
      <c r="R90" s="77"/>
      <c r="S90" s="373" t="str">
        <f>IF(L90=TRUE,"Does not apply","-")</f>
        <v>-</v>
      </c>
    </row>
    <row r="91" spans="2:19" s="22" customFormat="1" ht="6" customHeight="1">
      <c r="B91" s="53"/>
      <c r="C91" s="80"/>
      <c r="D91" s="80"/>
      <c r="E91" s="80"/>
      <c r="F91" s="80"/>
      <c r="G91" s="80"/>
      <c r="H91" s="80"/>
      <c r="I91" s="80"/>
      <c r="J91" s="80"/>
      <c r="K91" s="113"/>
      <c r="L91" s="217"/>
      <c r="M91" s="35"/>
      <c r="N91" s="18"/>
      <c r="O91" s="18"/>
      <c r="P91" s="18"/>
      <c r="Q91" s="18"/>
      <c r="R91" s="77"/>
      <c r="S91" s="375"/>
    </row>
    <row r="92" spans="2:19" s="22" customFormat="1">
      <c r="B92" s="53"/>
      <c r="C92" s="358" t="s">
        <v>449</v>
      </c>
      <c r="D92" s="358"/>
      <c r="E92" s="358"/>
      <c r="F92" s="358"/>
      <c r="G92" s="358"/>
      <c r="H92" s="358"/>
      <c r="I92" s="358"/>
      <c r="J92" s="358"/>
      <c r="K92" s="113"/>
      <c r="L92" s="217" t="b">
        <v>0</v>
      </c>
      <c r="M92" s="35"/>
      <c r="N92" s="18"/>
      <c r="O92" s="18"/>
      <c r="P92" s="18"/>
      <c r="Q92" s="18"/>
      <c r="R92" s="77"/>
      <c r="S92" s="364" t="str">
        <f>IF(L92=TRUE,"a","r")</f>
        <v>r</v>
      </c>
    </row>
    <row r="93" spans="2:19" s="22" customFormat="1">
      <c r="B93" s="53"/>
      <c r="C93" s="358"/>
      <c r="D93" s="358"/>
      <c r="E93" s="358"/>
      <c r="F93" s="358"/>
      <c r="G93" s="358"/>
      <c r="H93" s="358"/>
      <c r="I93" s="358"/>
      <c r="J93" s="358"/>
      <c r="K93" s="113"/>
      <c r="L93" s="217"/>
      <c r="M93" s="35"/>
      <c r="N93" s="18"/>
      <c r="O93" s="18"/>
      <c r="P93" s="18"/>
      <c r="Q93" s="18"/>
      <c r="R93" s="77"/>
      <c r="S93" s="365"/>
    </row>
    <row r="94" spans="2:19" s="22" customFormat="1" ht="6" customHeight="1">
      <c r="B94" s="53"/>
      <c r="C94" s="80"/>
      <c r="D94" s="80"/>
      <c r="E94" s="80"/>
      <c r="F94" s="80"/>
      <c r="G94" s="80"/>
      <c r="H94" s="80"/>
      <c r="I94" s="80"/>
      <c r="J94" s="80"/>
      <c r="K94" s="113"/>
      <c r="L94" s="217"/>
      <c r="M94" s="35"/>
      <c r="N94" s="18"/>
      <c r="O94" s="18"/>
      <c r="P94" s="18"/>
      <c r="Q94" s="18"/>
      <c r="R94" s="77"/>
      <c r="S94" s="366"/>
    </row>
    <row r="95" spans="2:19" s="22" customFormat="1">
      <c r="B95" s="53"/>
      <c r="C95" s="80" t="s">
        <v>450</v>
      </c>
      <c r="D95" s="80"/>
      <c r="E95" s="80"/>
      <c r="F95" s="80"/>
      <c r="G95" s="80"/>
      <c r="H95" s="80"/>
      <c r="I95" s="80"/>
      <c r="J95" s="80"/>
      <c r="K95" s="113"/>
      <c r="L95" s="217" t="b">
        <v>0</v>
      </c>
      <c r="M95" s="35"/>
      <c r="N95" s="18"/>
      <c r="O95" s="18"/>
      <c r="P95" s="18"/>
      <c r="Q95" s="18"/>
      <c r="R95" s="77"/>
      <c r="S95" s="364" t="str">
        <f>IF(OR(L95=TRUE,L100=TRUE),"a","r")</f>
        <v>r</v>
      </c>
    </row>
    <row r="96" spans="2:19" s="22" customFormat="1">
      <c r="B96" s="53"/>
      <c r="C96" s="80"/>
      <c r="D96" s="94" t="s">
        <v>444</v>
      </c>
      <c r="E96" s="193"/>
      <c r="F96" s="80" t="s">
        <v>452</v>
      </c>
      <c r="G96" s="94" t="s">
        <v>443</v>
      </c>
      <c r="H96" s="193"/>
      <c r="I96" s="80"/>
      <c r="J96" s="80"/>
      <c r="K96" s="113"/>
      <c r="L96" s="217"/>
      <c r="M96" s="35"/>
      <c r="N96" s="18"/>
      <c r="O96" s="18"/>
      <c r="P96" s="18"/>
      <c r="Q96" s="18"/>
      <c r="R96" s="77"/>
      <c r="S96" s="365"/>
    </row>
    <row r="97" spans="2:19" s="22" customFormat="1" ht="6" customHeight="1">
      <c r="B97" s="53"/>
      <c r="C97" s="80"/>
      <c r="D97" s="38"/>
      <c r="E97" s="38"/>
      <c r="F97" s="80"/>
      <c r="G97" s="80"/>
      <c r="H97" s="80"/>
      <c r="I97" s="80"/>
      <c r="J97" s="80"/>
      <c r="K97" s="113"/>
      <c r="L97" s="217"/>
      <c r="M97" s="35"/>
      <c r="N97" s="18"/>
      <c r="O97" s="18"/>
      <c r="P97" s="18"/>
      <c r="Q97" s="18"/>
      <c r="R97" s="77"/>
      <c r="S97" s="365"/>
    </row>
    <row r="98" spans="2:19" s="22" customFormat="1">
      <c r="B98" s="53"/>
      <c r="C98" s="80"/>
      <c r="D98" s="94" t="s">
        <v>444</v>
      </c>
      <c r="E98" s="193"/>
      <c r="F98" s="80" t="s">
        <v>452</v>
      </c>
      <c r="G98" s="94" t="s">
        <v>443</v>
      </c>
      <c r="H98" s="193"/>
      <c r="I98" s="80"/>
      <c r="J98" s="80"/>
      <c r="K98" s="113"/>
      <c r="L98" s="217"/>
      <c r="M98" s="35"/>
      <c r="N98" s="18"/>
      <c r="O98" s="18"/>
      <c r="P98" s="18"/>
      <c r="Q98" s="18"/>
      <c r="R98" s="77"/>
      <c r="S98" s="365"/>
    </row>
    <row r="99" spans="2:19" s="22" customFormat="1" ht="6" customHeight="1">
      <c r="B99" s="53"/>
      <c r="C99" s="80"/>
      <c r="D99" s="38"/>
      <c r="E99" s="38"/>
      <c r="F99" s="80"/>
      <c r="G99" s="80"/>
      <c r="H99" s="80"/>
      <c r="I99" s="80"/>
      <c r="J99" s="80"/>
      <c r="K99" s="113"/>
      <c r="L99" s="217"/>
      <c r="M99" s="35"/>
      <c r="N99" s="18"/>
      <c r="O99" s="18"/>
      <c r="P99" s="18"/>
      <c r="Q99" s="18"/>
      <c r="R99" s="77"/>
      <c r="S99" s="365"/>
    </row>
    <row r="100" spans="2:19" s="22" customFormat="1">
      <c r="B100" s="53"/>
      <c r="C100" s="80" t="s">
        <v>451</v>
      </c>
      <c r="D100" s="80"/>
      <c r="E100" s="80"/>
      <c r="F100" s="80"/>
      <c r="G100" s="80"/>
      <c r="H100" s="80"/>
      <c r="I100" s="80"/>
      <c r="J100" s="80"/>
      <c r="K100" s="113"/>
      <c r="L100" s="217" t="b">
        <v>0</v>
      </c>
      <c r="M100" s="35"/>
      <c r="N100" s="18"/>
      <c r="O100" s="18"/>
      <c r="P100" s="18"/>
      <c r="Q100" s="18"/>
      <c r="R100" s="77"/>
      <c r="S100" s="365"/>
    </row>
    <row r="101" spans="2:19" s="22" customFormat="1" ht="6" customHeight="1">
      <c r="B101" s="55"/>
      <c r="C101" s="114"/>
      <c r="D101" s="115"/>
      <c r="E101" s="115"/>
      <c r="F101" s="115"/>
      <c r="G101" s="115"/>
      <c r="H101" s="115"/>
      <c r="I101" s="115"/>
      <c r="J101" s="115"/>
      <c r="K101" s="116"/>
      <c r="L101" s="217"/>
      <c r="M101" s="35"/>
      <c r="N101" s="18"/>
      <c r="O101" s="18"/>
      <c r="P101" s="18"/>
      <c r="Q101" s="18"/>
      <c r="R101" s="77"/>
      <c r="S101" s="257"/>
    </row>
    <row r="102" spans="2:19" s="21" customFormat="1" ht="27" customHeight="1">
      <c r="B102" s="369" t="s">
        <v>563</v>
      </c>
      <c r="C102" s="370"/>
      <c r="D102" s="370"/>
      <c r="E102" s="370"/>
      <c r="F102" s="370"/>
      <c r="G102" s="370"/>
      <c r="H102" s="370"/>
      <c r="I102" s="370"/>
      <c r="J102" s="370"/>
      <c r="K102" s="370"/>
      <c r="L102" s="370"/>
      <c r="M102" s="370"/>
      <c r="N102" s="370"/>
      <c r="O102" s="370"/>
      <c r="P102" s="370"/>
      <c r="Q102" s="370"/>
      <c r="R102" s="370"/>
      <c r="S102" s="372"/>
    </row>
    <row r="103" spans="2:19" s="21" customFormat="1">
      <c r="B103" s="53"/>
      <c r="C103" s="38" t="s">
        <v>355</v>
      </c>
      <c r="D103" s="38"/>
      <c r="E103" s="38"/>
      <c r="F103" s="38"/>
      <c r="G103" s="38"/>
      <c r="H103" s="38"/>
      <c r="I103" s="38"/>
      <c r="J103" s="38"/>
      <c r="K103" s="38"/>
      <c r="L103" s="38"/>
      <c r="M103" s="41"/>
      <c r="N103" s="42"/>
      <c r="O103" s="42"/>
      <c r="P103" s="42"/>
      <c r="Q103" s="88"/>
      <c r="R103" s="218" t="b">
        <v>0</v>
      </c>
      <c r="S103" s="386" t="str">
        <f>IF(R103=TRUE,"Compliant","Not Compliant")</f>
        <v>Not Compliant</v>
      </c>
    </row>
    <row r="104" spans="2:19" s="21" customFormat="1" ht="6" customHeight="1">
      <c r="B104" s="53"/>
      <c r="C104" s="38"/>
      <c r="D104" s="38"/>
      <c r="E104" s="38"/>
      <c r="F104" s="38"/>
      <c r="G104" s="38"/>
      <c r="H104" s="38"/>
      <c r="I104" s="38"/>
      <c r="J104" s="38"/>
      <c r="K104" s="38"/>
      <c r="L104" s="213"/>
      <c r="M104" s="35"/>
      <c r="N104" s="18"/>
      <c r="O104" s="18"/>
      <c r="P104" s="18"/>
      <c r="Q104" s="46"/>
      <c r="R104" s="218"/>
      <c r="S104" s="387"/>
    </row>
    <row r="105" spans="2:19" s="21" customFormat="1" ht="18" customHeight="1">
      <c r="B105" s="64" t="s">
        <v>316</v>
      </c>
      <c r="C105" s="65" t="s">
        <v>356</v>
      </c>
      <c r="D105" s="66"/>
      <c r="E105" s="66"/>
      <c r="F105" s="66"/>
      <c r="G105" s="66"/>
      <c r="H105" s="66"/>
      <c r="I105" s="66"/>
      <c r="J105" s="67"/>
      <c r="K105" s="67"/>
      <c r="L105" s="213"/>
      <c r="M105" s="71"/>
      <c r="N105" s="72"/>
      <c r="O105" s="18"/>
      <c r="P105" s="18"/>
      <c r="Q105" s="46"/>
      <c r="R105" s="218"/>
      <c r="S105" s="90" t="str">
        <f>IF(AND(S110="",S106="a"),"Compliant",IF(AND(S110="",S108="a"),"Compliant",IF(AND(S110="a",S108="a"),"Compliant",IF(AND(S110="a",S106="a"),"Compliant","Not Compliant"))))</f>
        <v>Not Compliant</v>
      </c>
    </row>
    <row r="106" spans="2:19" s="21" customFormat="1" ht="12.75" customHeight="1">
      <c r="B106" s="53"/>
      <c r="C106" s="38" t="s">
        <v>357</v>
      </c>
      <c r="D106" s="73"/>
      <c r="E106" s="73"/>
      <c r="F106" s="73"/>
      <c r="G106" s="73"/>
      <c r="H106" s="73"/>
      <c r="I106" s="73"/>
      <c r="J106" s="38"/>
      <c r="K106" s="38"/>
      <c r="L106" s="213" t="b">
        <v>0</v>
      </c>
      <c r="M106" s="35"/>
      <c r="N106" s="18" t="str">
        <f>IF(L106=TRUE,"Pictures of the products as marketed or relevant evidence",IF(L108=TRUE,"Pictures of the products as marketed or relevant evidence",""))</f>
        <v/>
      </c>
      <c r="O106" s="18"/>
      <c r="P106" s="18"/>
      <c r="Q106" s="46"/>
      <c r="R106" s="219" t="b">
        <v>0</v>
      </c>
      <c r="S106" s="364" t="str">
        <f>IF(L106=FALSE,"",IF(R106=TRUE,"a","r"))</f>
        <v/>
      </c>
    </row>
    <row r="107" spans="2:19" s="22" customFormat="1" ht="6.6" customHeight="1">
      <c r="B107" s="53"/>
      <c r="C107" s="38"/>
      <c r="D107" s="73"/>
      <c r="E107" s="73"/>
      <c r="F107" s="73"/>
      <c r="G107" s="73"/>
      <c r="H107" s="73"/>
      <c r="I107" s="73"/>
      <c r="J107" s="38"/>
      <c r="K107" s="38"/>
      <c r="L107" s="213"/>
      <c r="M107" s="35"/>
      <c r="N107" s="18"/>
      <c r="O107" s="18"/>
      <c r="P107" s="18"/>
      <c r="Q107" s="46"/>
      <c r="R107" s="219"/>
      <c r="S107" s="366"/>
    </row>
    <row r="108" spans="2:19" s="21" customFormat="1" ht="12.95" customHeight="1">
      <c r="B108" s="53"/>
      <c r="C108" s="385" t="s">
        <v>404</v>
      </c>
      <c r="D108" s="385"/>
      <c r="E108" s="385"/>
      <c r="F108" s="385"/>
      <c r="G108" s="385"/>
      <c r="H108" s="385"/>
      <c r="I108" s="385"/>
      <c r="J108" s="385"/>
      <c r="K108" s="49"/>
      <c r="L108" s="213" t="b">
        <v>0</v>
      </c>
      <c r="M108" s="35"/>
      <c r="N108" s="18" t="str">
        <f>IF(L110=TRUE,"Pictures of the refill","")</f>
        <v/>
      </c>
      <c r="O108" s="18"/>
      <c r="P108" s="18"/>
      <c r="Q108" s="46"/>
      <c r="R108" s="219"/>
      <c r="S108" s="364" t="str">
        <f>IF(L108=FALSE,"",IF(R106=TRUE,"a","r"))</f>
        <v/>
      </c>
    </row>
    <row r="109" spans="2:19">
      <c r="B109" s="53"/>
      <c r="C109" s="385"/>
      <c r="D109" s="385"/>
      <c r="E109" s="385"/>
      <c r="F109" s="385"/>
      <c r="G109" s="385"/>
      <c r="H109" s="385"/>
      <c r="I109" s="385"/>
      <c r="J109" s="385"/>
      <c r="K109" s="74"/>
      <c r="L109" s="213"/>
      <c r="M109" s="35"/>
      <c r="N109" s="18"/>
      <c r="O109" s="18"/>
      <c r="P109" s="18"/>
      <c r="Q109" s="46"/>
      <c r="R109" s="219"/>
      <c r="S109" s="366"/>
    </row>
    <row r="110" spans="2:19" s="22" customFormat="1">
      <c r="B110" s="53"/>
      <c r="C110" s="49" t="s">
        <v>405</v>
      </c>
      <c r="D110" s="74"/>
      <c r="E110" s="74"/>
      <c r="F110" s="74"/>
      <c r="G110" s="74"/>
      <c r="H110" s="74"/>
      <c r="I110" s="74"/>
      <c r="J110" s="74"/>
      <c r="K110" s="74"/>
      <c r="L110" s="213" t="b">
        <v>0</v>
      </c>
      <c r="M110" s="35"/>
      <c r="N110" s="18"/>
      <c r="O110" s="18"/>
      <c r="P110" s="18"/>
      <c r="Q110" s="46"/>
      <c r="R110" s="219" t="b">
        <v>0</v>
      </c>
      <c r="S110" s="364" t="str">
        <f>IF(L110=FALSE,"",(IF(R110=TRUE,"a","r")))</f>
        <v/>
      </c>
    </row>
    <row r="111" spans="2:19" s="22" customFormat="1">
      <c r="B111" s="53"/>
      <c r="C111" s="49"/>
      <c r="D111" s="49" t="s">
        <v>406</v>
      </c>
      <c r="E111" s="74"/>
      <c r="F111" s="74"/>
      <c r="G111" s="74"/>
      <c r="H111" s="74"/>
      <c r="I111" s="74"/>
      <c r="J111" s="74"/>
      <c r="K111" s="74"/>
      <c r="L111" s="213"/>
      <c r="M111" s="35"/>
      <c r="N111" s="18"/>
      <c r="O111" s="18"/>
      <c r="P111" s="18"/>
      <c r="Q111" s="46"/>
      <c r="R111" s="219"/>
      <c r="S111" s="366"/>
    </row>
    <row r="112" spans="2:19" ht="6.6" customHeight="1">
      <c r="B112" s="53"/>
      <c r="C112" s="38"/>
      <c r="D112" s="38"/>
      <c r="E112" s="38"/>
      <c r="F112" s="38"/>
      <c r="G112" s="38"/>
      <c r="H112" s="38"/>
      <c r="I112" s="38"/>
      <c r="J112" s="38"/>
      <c r="K112" s="38"/>
      <c r="L112" s="213"/>
      <c r="M112" s="35"/>
      <c r="N112" s="18"/>
      <c r="O112" s="18"/>
      <c r="P112" s="18"/>
      <c r="Q112" s="46"/>
      <c r="R112" s="218"/>
      <c r="S112" s="420" t="str">
        <f>IF(S114="Exempted from the requirement","Exempted from the requirement",IF(S116="r","Not Compliant",IF(S118="a","Compliant","Not Compliant")))</f>
        <v>Not Compliant</v>
      </c>
    </row>
    <row r="113" spans="2:20" ht="21.6" customHeight="1">
      <c r="B113" s="64" t="s">
        <v>319</v>
      </c>
      <c r="C113" s="65" t="s">
        <v>358</v>
      </c>
      <c r="D113" s="66"/>
      <c r="E113" s="66"/>
      <c r="F113" s="66"/>
      <c r="G113" s="66"/>
      <c r="H113" s="66"/>
      <c r="I113" s="66"/>
      <c r="J113" s="67"/>
      <c r="K113" s="67"/>
      <c r="L113" s="213"/>
      <c r="M113" s="71"/>
      <c r="N113" s="72"/>
      <c r="O113" s="18"/>
      <c r="P113" s="18"/>
      <c r="Q113" s="46"/>
      <c r="R113" s="218"/>
      <c r="S113" s="387"/>
    </row>
    <row r="114" spans="2:20" ht="19.5" customHeight="1">
      <c r="B114" s="53"/>
      <c r="C114" s="85" t="s">
        <v>360</v>
      </c>
      <c r="D114" s="73"/>
      <c r="E114" s="73"/>
      <c r="F114" s="73"/>
      <c r="G114" s="73"/>
      <c r="H114" s="73"/>
      <c r="I114" s="73"/>
      <c r="J114" s="38"/>
      <c r="K114" s="38"/>
      <c r="L114" s="213" t="b">
        <v>0</v>
      </c>
      <c r="M114" s="35"/>
      <c r="N114" s="376" t="str">
        <f>IF(L114=TRUE,"Signed declaration from the packaging manufacturer for the content of recycled material","")</f>
        <v/>
      </c>
      <c r="O114" s="376"/>
      <c r="P114" s="376"/>
      <c r="Q114" s="392"/>
      <c r="R114" s="218" t="b">
        <v>0</v>
      </c>
      <c r="S114" s="404" t="str">
        <f>IF(AND(L114=TRUE,R114=TRUE,R116=TRUE),"Exempted from the requirement","-")</f>
        <v>-</v>
      </c>
      <c r="T114" s="22"/>
    </row>
    <row r="115" spans="2:20" s="22" customFormat="1" ht="6.95" customHeight="1">
      <c r="B115" s="53"/>
      <c r="C115" s="38"/>
      <c r="D115" s="73"/>
      <c r="E115" s="73"/>
      <c r="F115" s="73"/>
      <c r="G115" s="73"/>
      <c r="H115" s="73"/>
      <c r="I115" s="73"/>
      <c r="J115" s="38"/>
      <c r="K115" s="38"/>
      <c r="L115" s="213"/>
      <c r="M115" s="35"/>
      <c r="N115" s="376"/>
      <c r="O115" s="376"/>
      <c r="P115" s="376"/>
      <c r="Q115" s="392"/>
      <c r="R115" s="218"/>
      <c r="S115" s="406"/>
    </row>
    <row r="116" spans="2:20" s="22" customFormat="1" ht="12.95" customHeight="1">
      <c r="B116" s="53"/>
      <c r="C116" s="38" t="s">
        <v>407</v>
      </c>
      <c r="D116" s="73"/>
      <c r="E116" s="73"/>
      <c r="F116" s="73"/>
      <c r="G116" s="73"/>
      <c r="H116" s="73"/>
      <c r="I116" s="73"/>
      <c r="J116" s="38"/>
      <c r="K116" s="38"/>
      <c r="L116" s="213" t="b">
        <v>0</v>
      </c>
      <c r="M116" s="35"/>
      <c r="N116" s="376" t="str">
        <f>IF(L114=TRUE,"Third party verification and traceabiltiy for postconsumer recycled content","")</f>
        <v/>
      </c>
      <c r="O116" s="376"/>
      <c r="P116" s="376"/>
      <c r="Q116" s="392"/>
      <c r="R116" s="218" t="b">
        <v>0</v>
      </c>
      <c r="S116" s="407" t="str">
        <f>IF(R118=TRUE,"a",IF(L116=TRUE,"r",""))</f>
        <v/>
      </c>
    </row>
    <row r="117" spans="2:20" s="22" customFormat="1" ht="6" customHeight="1">
      <c r="B117" s="53"/>
      <c r="C117" s="38"/>
      <c r="D117" s="73"/>
      <c r="E117" s="73"/>
      <c r="F117" s="73"/>
      <c r="G117" s="73"/>
      <c r="H117" s="73"/>
      <c r="I117" s="73"/>
      <c r="J117" s="38"/>
      <c r="K117" s="38"/>
      <c r="L117" s="213"/>
      <c r="M117" s="35"/>
      <c r="N117" s="376"/>
      <c r="O117" s="376"/>
      <c r="P117" s="376"/>
      <c r="Q117" s="392"/>
      <c r="R117" s="218"/>
      <c r="S117" s="408"/>
    </row>
    <row r="118" spans="2:20" ht="12.95" customHeight="1">
      <c r="B118" s="53"/>
      <c r="C118" s="38" t="s">
        <v>361</v>
      </c>
      <c r="D118" s="73"/>
      <c r="E118" s="73"/>
      <c r="F118" s="73"/>
      <c r="G118" s="73"/>
      <c r="H118" s="73"/>
      <c r="I118" s="73"/>
      <c r="J118" s="38"/>
      <c r="K118" s="38"/>
      <c r="L118" s="213" t="b">
        <v>0</v>
      </c>
      <c r="M118" s="35"/>
      <c r="N118" s="376"/>
      <c r="O118" s="376"/>
      <c r="P118" s="376"/>
      <c r="Q118" s="392"/>
      <c r="R118" s="218" t="b">
        <v>0</v>
      </c>
      <c r="S118" s="364" t="str">
        <f>IF(AND(L118=TRUE,L120="Ok"),"a","r")</f>
        <v>r</v>
      </c>
    </row>
    <row r="119" spans="2:20">
      <c r="B119" s="53"/>
      <c r="C119" s="38"/>
      <c r="D119" s="80" t="s">
        <v>527</v>
      </c>
      <c r="E119" s="73"/>
      <c r="F119" s="73"/>
      <c r="G119" s="73"/>
      <c r="H119" s="73"/>
      <c r="I119" s="73"/>
      <c r="J119" s="73"/>
      <c r="K119" s="73"/>
      <c r="L119" s="213"/>
      <c r="M119" s="35"/>
      <c r="N119" s="18" t="str">
        <f>IF(L116=TRUE,"Description of the refill system (kinds of refills, volume)","")</f>
        <v/>
      </c>
      <c r="O119" s="18"/>
      <c r="P119" s="18"/>
      <c r="Q119" s="46"/>
      <c r="R119" s="218"/>
      <c r="S119" s="365"/>
    </row>
    <row r="120" spans="2:20" s="22" customFormat="1" ht="18.75" customHeight="1">
      <c r="B120" s="53"/>
      <c r="C120" s="38"/>
      <c r="D120" s="194" t="s">
        <v>522</v>
      </c>
      <c r="E120" s="203" t="str">
        <f>'Results 4'!D34</f>
        <v/>
      </c>
      <c r="F120" s="123"/>
      <c r="G120" s="123"/>
      <c r="H120" s="123"/>
      <c r="I120" s="123"/>
      <c r="J120" s="123"/>
      <c r="K120" s="123"/>
      <c r="L120" s="213" t="str">
        <f>IF(OR(E120&lt;0.2,E120=0.2),"Ok","No ok")</f>
        <v>No ok</v>
      </c>
      <c r="M120" s="35"/>
      <c r="N120" s="18"/>
      <c r="O120" s="18"/>
      <c r="P120" s="18"/>
      <c r="Q120" s="46"/>
      <c r="R120" s="218"/>
      <c r="S120" s="365"/>
    </row>
    <row r="121" spans="2:20" ht="6" customHeight="1">
      <c r="B121" s="53"/>
      <c r="C121" s="38"/>
      <c r="D121" s="38"/>
      <c r="E121" s="38"/>
      <c r="F121" s="38"/>
      <c r="G121" s="38"/>
      <c r="H121" s="38"/>
      <c r="I121" s="38"/>
      <c r="J121" s="38"/>
      <c r="K121" s="38"/>
      <c r="L121" s="213"/>
      <c r="M121" s="35"/>
      <c r="N121" s="18"/>
      <c r="O121" s="18"/>
      <c r="P121" s="18"/>
      <c r="Q121" s="46"/>
      <c r="R121" s="218"/>
      <c r="S121" s="421" t="str">
        <f>IF(AND(S123="Compliant",S134="Compliant"),"Compliant",IF(AND(S123="Exempted from the requirement",S134="Compliant"),"Compliant","Not Compliant"))</f>
        <v>Not Compliant</v>
      </c>
    </row>
    <row r="122" spans="2:20" s="22" customFormat="1" ht="15">
      <c r="B122" s="64" t="s">
        <v>363</v>
      </c>
      <c r="C122" s="65" t="s">
        <v>364</v>
      </c>
      <c r="D122" s="66"/>
      <c r="E122" s="66"/>
      <c r="F122" s="66"/>
      <c r="G122" s="66"/>
      <c r="H122" s="66"/>
      <c r="I122" s="66"/>
      <c r="J122" s="67"/>
      <c r="K122" s="67"/>
      <c r="L122" s="213"/>
      <c r="M122" s="71"/>
      <c r="N122" s="72"/>
      <c r="O122" s="18"/>
      <c r="P122" s="18"/>
      <c r="Q122" s="46"/>
      <c r="R122" s="218"/>
      <c r="S122" s="421"/>
    </row>
    <row r="123" spans="2:20" s="22" customFormat="1" ht="25.5" customHeight="1">
      <c r="B123" s="81" t="s">
        <v>365</v>
      </c>
      <c r="C123" s="75" t="s">
        <v>366</v>
      </c>
      <c r="D123" s="75"/>
      <c r="E123" s="82"/>
      <c r="F123" s="82"/>
      <c r="G123" s="83"/>
      <c r="H123" s="83"/>
      <c r="I123" s="83"/>
      <c r="J123" s="38"/>
      <c r="K123" s="38"/>
      <c r="L123" s="213"/>
      <c r="M123" s="35"/>
      <c r="N123" s="18" t="s">
        <v>408</v>
      </c>
      <c r="O123" s="18"/>
      <c r="P123" s="18"/>
      <c r="Q123" s="46"/>
      <c r="R123" s="218" t="b">
        <v>0</v>
      </c>
      <c r="S123" s="87" t="str">
        <f>IF(L132=TRUE,S131,IF(AND(R123=TRUE,R125=TRUE,S124="a",S127="a",S130="a"),"Compliant","Not Compliant"))</f>
        <v>Not Compliant</v>
      </c>
    </row>
    <row r="124" spans="2:20" s="22" customFormat="1" ht="13.5" customHeight="1">
      <c r="B124" s="53"/>
      <c r="C124" s="379" t="s">
        <v>367</v>
      </c>
      <c r="D124" s="379"/>
      <c r="E124" s="379"/>
      <c r="F124" s="379"/>
      <c r="G124" s="379"/>
      <c r="H124" s="379"/>
      <c r="I124" s="379"/>
      <c r="J124" s="379"/>
      <c r="K124" s="76"/>
      <c r="L124" s="213" t="b">
        <v>0</v>
      </c>
      <c r="M124" s="35"/>
      <c r="N124" s="18"/>
      <c r="O124" s="18"/>
      <c r="P124" s="18"/>
      <c r="Q124" s="46"/>
      <c r="R124" s="218"/>
      <c r="S124" s="364" t="str">
        <f>IF(L132=TRUE,"",IF(L124=TRUE,"a","r"))</f>
        <v>r</v>
      </c>
    </row>
    <row r="125" spans="2:20" s="22" customFormat="1">
      <c r="B125" s="53"/>
      <c r="C125" s="379"/>
      <c r="D125" s="379"/>
      <c r="E125" s="379"/>
      <c r="F125" s="379"/>
      <c r="G125" s="379"/>
      <c r="H125" s="379"/>
      <c r="I125" s="379"/>
      <c r="J125" s="379"/>
      <c r="K125" s="76"/>
      <c r="L125" s="213"/>
      <c r="M125" s="35"/>
      <c r="N125" s="18" t="s">
        <v>409</v>
      </c>
      <c r="O125" s="18"/>
      <c r="P125" s="18"/>
      <c r="Q125" s="46"/>
      <c r="R125" s="218" t="b">
        <v>0</v>
      </c>
      <c r="S125" s="365"/>
    </row>
    <row r="126" spans="2:20" s="22" customFormat="1" ht="6" customHeight="1">
      <c r="B126" s="53"/>
      <c r="C126" s="38"/>
      <c r="D126" s="73"/>
      <c r="E126" s="73"/>
      <c r="F126" s="73"/>
      <c r="G126" s="73"/>
      <c r="H126" s="73"/>
      <c r="I126" s="73"/>
      <c r="J126" s="38"/>
      <c r="K126" s="38"/>
      <c r="L126" s="213"/>
      <c r="M126" s="35"/>
      <c r="N126" s="18"/>
      <c r="O126" s="18"/>
      <c r="P126" s="18"/>
      <c r="Q126" s="46"/>
      <c r="R126" s="218"/>
      <c r="S126" s="366"/>
    </row>
    <row r="127" spans="2:20" s="22" customFormat="1" ht="12.95" customHeight="1">
      <c r="B127" s="53"/>
      <c r="C127" s="38" t="s">
        <v>368</v>
      </c>
      <c r="D127" s="73"/>
      <c r="E127" s="73"/>
      <c r="F127" s="73"/>
      <c r="G127" s="73"/>
      <c r="H127" s="73"/>
      <c r="I127" s="73"/>
      <c r="J127" s="38"/>
      <c r="K127" s="38"/>
      <c r="L127" s="213" t="b">
        <v>0</v>
      </c>
      <c r="M127" s="35"/>
      <c r="N127" s="18"/>
      <c r="O127" s="18"/>
      <c r="P127" s="18"/>
      <c r="Q127" s="46"/>
      <c r="R127" s="218"/>
      <c r="S127" s="364" t="str">
        <f>IF(L132=TRUE,"",IF(L127=TRUE,"a","r"))</f>
        <v>r</v>
      </c>
    </row>
    <row r="128" spans="2:20" s="22" customFormat="1">
      <c r="B128" s="53"/>
      <c r="C128" s="38"/>
      <c r="D128" s="358" t="s">
        <v>369</v>
      </c>
      <c r="E128" s="358"/>
      <c r="F128" s="358"/>
      <c r="G128" s="358"/>
      <c r="H128" s="358"/>
      <c r="I128" s="358"/>
      <c r="J128" s="358"/>
      <c r="K128" s="73"/>
      <c r="L128" s="213"/>
      <c r="M128" s="35"/>
      <c r="N128" s="18"/>
      <c r="O128" s="18"/>
      <c r="P128" s="18"/>
      <c r="Q128" s="46"/>
      <c r="R128" s="218"/>
      <c r="S128" s="365"/>
    </row>
    <row r="129" spans="2:19" s="22" customFormat="1">
      <c r="B129" s="53"/>
      <c r="C129" s="38"/>
      <c r="D129" s="358"/>
      <c r="E129" s="358"/>
      <c r="F129" s="358"/>
      <c r="G129" s="358"/>
      <c r="H129" s="358"/>
      <c r="I129" s="358"/>
      <c r="J129" s="358"/>
      <c r="K129" s="38"/>
      <c r="L129" s="213"/>
      <c r="M129" s="35"/>
      <c r="N129" s="18"/>
      <c r="O129" s="18"/>
      <c r="P129" s="18"/>
      <c r="Q129" s="46"/>
      <c r="R129" s="218"/>
      <c r="S129" s="366"/>
    </row>
    <row r="130" spans="2:19" ht="14.25">
      <c r="B130" s="53"/>
      <c r="C130" s="38" t="s">
        <v>370</v>
      </c>
      <c r="D130" s="38"/>
      <c r="E130" s="38"/>
      <c r="F130" s="38"/>
      <c r="G130" s="38"/>
      <c r="H130" s="38"/>
      <c r="I130" s="38"/>
      <c r="J130" s="38"/>
      <c r="K130" s="38"/>
      <c r="L130" s="213" t="b">
        <v>0</v>
      </c>
      <c r="M130" s="35"/>
      <c r="N130" s="18"/>
      <c r="O130" s="18"/>
      <c r="P130" s="18"/>
      <c r="Q130" s="46"/>
      <c r="R130" s="218"/>
      <c r="S130" s="86" t="str">
        <f>IF(L132=TRUE,"",IF(L130=TRUE,"a","r"))</f>
        <v>r</v>
      </c>
    </row>
    <row r="131" spans="2:19" ht="6" customHeight="1">
      <c r="B131" s="53"/>
      <c r="C131" s="38"/>
      <c r="D131" s="38"/>
      <c r="E131" s="38"/>
      <c r="F131" s="38"/>
      <c r="G131" s="38"/>
      <c r="H131" s="38"/>
      <c r="I131" s="38"/>
      <c r="J131" s="38"/>
      <c r="K131" s="38"/>
      <c r="L131" s="213"/>
      <c r="M131" s="35"/>
      <c r="N131" s="18"/>
      <c r="O131" s="18"/>
      <c r="P131" s="18"/>
      <c r="Q131" s="46"/>
      <c r="R131" s="218"/>
      <c r="S131" s="404" t="str">
        <f>IF(L132=TRUE,"Exempted from the requirement","")</f>
        <v/>
      </c>
    </row>
    <row r="132" spans="2:19">
      <c r="B132" s="53"/>
      <c r="C132" s="38" t="s">
        <v>371</v>
      </c>
      <c r="D132" s="38"/>
      <c r="E132" s="38"/>
      <c r="F132" s="38"/>
      <c r="G132" s="38"/>
      <c r="H132" s="38"/>
      <c r="I132" s="38"/>
      <c r="J132" s="38"/>
      <c r="K132" s="38"/>
      <c r="L132" s="213" t="b">
        <v>0</v>
      </c>
      <c r="M132" s="35"/>
      <c r="N132" s="18"/>
      <c r="O132" s="18"/>
      <c r="P132" s="18"/>
      <c r="Q132" s="46"/>
      <c r="R132" s="218"/>
      <c r="S132" s="405"/>
    </row>
    <row r="133" spans="2:19" ht="6" customHeight="1">
      <c r="B133" s="53"/>
      <c r="C133" s="38"/>
      <c r="D133" s="38"/>
      <c r="E133" s="38"/>
      <c r="F133" s="38"/>
      <c r="G133" s="38"/>
      <c r="H133" s="38"/>
      <c r="I133" s="38"/>
      <c r="J133" s="38"/>
      <c r="K133" s="38"/>
      <c r="L133" s="213"/>
      <c r="M133" s="35"/>
      <c r="N133" s="18"/>
      <c r="O133" s="18"/>
      <c r="P133" s="18"/>
      <c r="Q133" s="46"/>
      <c r="R133" s="218"/>
      <c r="S133" s="406"/>
    </row>
    <row r="134" spans="2:19">
      <c r="B134" s="81" t="s">
        <v>372</v>
      </c>
      <c r="C134" s="75" t="s">
        <v>373</v>
      </c>
      <c r="D134" s="84"/>
      <c r="E134" s="38"/>
      <c r="F134" s="38"/>
      <c r="G134" s="38"/>
      <c r="H134" s="38"/>
      <c r="I134" s="38"/>
      <c r="J134" s="38"/>
      <c r="K134" s="38"/>
      <c r="L134" s="213"/>
      <c r="M134" s="35"/>
      <c r="N134" s="18"/>
      <c r="O134" s="18"/>
      <c r="P134" s="18"/>
      <c r="Q134" s="46"/>
      <c r="R134" s="218"/>
      <c r="S134" s="90" t="str">
        <f>IF(AND(R125=TRUE,S135="a",S137="a"),"Compliant","Not Compliant")</f>
        <v>Not Compliant</v>
      </c>
    </row>
    <row r="135" spans="2:19">
      <c r="B135" s="53"/>
      <c r="C135" s="38" t="s">
        <v>374</v>
      </c>
      <c r="D135" s="38"/>
      <c r="E135" s="38"/>
      <c r="F135" s="38"/>
      <c r="G135" s="38"/>
      <c r="H135" s="38"/>
      <c r="I135" s="38"/>
      <c r="J135" s="38"/>
      <c r="K135" s="38"/>
      <c r="L135" s="213" t="b">
        <v>0</v>
      </c>
      <c r="M135" s="35"/>
      <c r="N135" s="18"/>
      <c r="O135" s="18"/>
      <c r="P135" s="18"/>
      <c r="Q135" s="46"/>
      <c r="R135" s="218"/>
      <c r="S135" s="364" t="str">
        <f>IF(L135=TRUE,"a","r")</f>
        <v>r</v>
      </c>
    </row>
    <row r="136" spans="2:19" ht="6" customHeight="1">
      <c r="B136" s="53"/>
      <c r="C136" s="38"/>
      <c r="D136" s="38"/>
      <c r="E136" s="38"/>
      <c r="F136" s="38"/>
      <c r="G136" s="38"/>
      <c r="H136" s="38"/>
      <c r="I136" s="38"/>
      <c r="J136" s="38"/>
      <c r="K136" s="38"/>
      <c r="L136" s="213"/>
      <c r="M136" s="35"/>
      <c r="N136" s="18"/>
      <c r="O136" s="18"/>
      <c r="P136" s="18"/>
      <c r="Q136" s="46"/>
      <c r="R136" s="218"/>
      <c r="S136" s="366"/>
    </row>
    <row r="137" spans="2:19">
      <c r="B137" s="53"/>
      <c r="C137" s="38" t="s">
        <v>375</v>
      </c>
      <c r="D137" s="38"/>
      <c r="E137" s="38"/>
      <c r="F137" s="38"/>
      <c r="G137" s="38"/>
      <c r="H137" s="38"/>
      <c r="I137" s="38"/>
      <c r="J137" s="38"/>
      <c r="K137" s="38"/>
      <c r="L137" s="213" t="b">
        <v>0</v>
      </c>
      <c r="M137" s="35"/>
      <c r="N137" s="18"/>
      <c r="O137" s="18"/>
      <c r="P137" s="18"/>
      <c r="Q137" s="46"/>
      <c r="R137" s="218"/>
      <c r="S137" s="364" t="str">
        <f>IF(AND(L137=TRUE,L138="Ok"),"a","r")</f>
        <v>r</v>
      </c>
    </row>
    <row r="138" spans="2:19" s="22" customFormat="1" ht="15">
      <c r="B138" s="53"/>
      <c r="C138" s="38"/>
      <c r="D138" s="194" t="s">
        <v>526</v>
      </c>
      <c r="E138" s="203" t="str">
        <f>'Results 4'!D44</f>
        <v/>
      </c>
      <c r="F138" s="38"/>
      <c r="G138" s="38"/>
      <c r="H138" s="38"/>
      <c r="I138" s="38"/>
      <c r="J138" s="38"/>
      <c r="K138" s="38"/>
      <c r="L138" s="213" t="str">
        <f>IF(OR(E138&lt;5,E138=5),"Ok","No ok")</f>
        <v>No ok</v>
      </c>
      <c r="M138" s="35"/>
      <c r="N138" s="18"/>
      <c r="O138" s="18"/>
      <c r="P138" s="18"/>
      <c r="Q138" s="46"/>
      <c r="R138" s="218"/>
      <c r="S138" s="365"/>
    </row>
    <row r="139" spans="2:19" ht="6" customHeight="1">
      <c r="B139" s="53"/>
      <c r="C139" s="38"/>
      <c r="D139" s="38"/>
      <c r="E139" s="38"/>
      <c r="F139" s="38"/>
      <c r="G139" s="38"/>
      <c r="H139" s="38"/>
      <c r="I139" s="38"/>
      <c r="J139" s="38"/>
      <c r="K139" s="38"/>
      <c r="L139" s="213"/>
      <c r="M139" s="35"/>
      <c r="N139" s="18"/>
      <c r="O139" s="18"/>
      <c r="P139" s="18"/>
      <c r="Q139" s="46"/>
      <c r="R139" s="218"/>
      <c r="S139" s="366"/>
    </row>
    <row r="140" spans="2:19" ht="23.1" customHeight="1">
      <c r="B140" s="64" t="s">
        <v>376</v>
      </c>
      <c r="C140" s="65" t="s">
        <v>377</v>
      </c>
      <c r="D140" s="66"/>
      <c r="E140" s="66"/>
      <c r="F140" s="66"/>
      <c r="G140" s="66"/>
      <c r="H140" s="66"/>
      <c r="I140" s="66"/>
      <c r="J140" s="67"/>
      <c r="K140" s="67"/>
      <c r="L140" s="213"/>
      <c r="M140" s="71"/>
      <c r="N140" s="72"/>
      <c r="O140" s="18"/>
      <c r="P140" s="18"/>
      <c r="Q140" s="46"/>
      <c r="R140" s="218"/>
      <c r="S140" s="87" t="str">
        <f>IF(AND(S141="Exempted from the requirement"),"Exempted from the requirement",IF(AND(R141=TRUE,S143="a"),"Compliant","Not Compliant"))</f>
        <v>Not Compliant</v>
      </c>
    </row>
    <row r="141" spans="2:19" ht="12.6" customHeight="1">
      <c r="B141" s="53"/>
      <c r="C141" s="38" t="s">
        <v>378</v>
      </c>
      <c r="D141" s="38"/>
      <c r="E141" s="38"/>
      <c r="F141" s="38"/>
      <c r="G141" s="38"/>
      <c r="H141" s="38"/>
      <c r="I141" s="38"/>
      <c r="J141" s="38"/>
      <c r="K141" s="38"/>
      <c r="L141" s="213" t="b">
        <v>0</v>
      </c>
      <c r="M141" s="35"/>
      <c r="N141" s="376" t="s">
        <v>410</v>
      </c>
      <c r="O141" s="376"/>
      <c r="P141" s="376"/>
      <c r="Q141" s="392"/>
      <c r="R141" s="218" t="b">
        <v>0</v>
      </c>
      <c r="S141" s="407" t="str">
        <f>IF(L141=TRUE,"a","r")</f>
        <v>r</v>
      </c>
    </row>
    <row r="142" spans="2:19" ht="6.6" customHeight="1">
      <c r="B142" s="53"/>
      <c r="C142" s="38"/>
      <c r="D142" s="38"/>
      <c r="E142" s="38"/>
      <c r="F142" s="38"/>
      <c r="G142" s="38"/>
      <c r="H142" s="38"/>
      <c r="I142" s="38"/>
      <c r="J142" s="38"/>
      <c r="K142" s="38"/>
      <c r="L142" s="213"/>
      <c r="M142" s="35"/>
      <c r="N142" s="376"/>
      <c r="O142" s="376"/>
      <c r="P142" s="376"/>
      <c r="Q142" s="392"/>
      <c r="R142" s="218"/>
      <c r="S142" s="418"/>
    </row>
    <row r="143" spans="2:19">
      <c r="B143" s="53"/>
      <c r="C143" s="359" t="s">
        <v>536</v>
      </c>
      <c r="D143" s="359"/>
      <c r="E143" s="359"/>
      <c r="F143" s="359"/>
      <c r="G143" s="359"/>
      <c r="H143" s="359"/>
      <c r="I143" s="359"/>
      <c r="J143" s="359"/>
      <c r="K143" s="359"/>
      <c r="L143" s="213" t="b">
        <v>0</v>
      </c>
      <c r="M143" s="35"/>
      <c r="N143" s="376"/>
      <c r="O143" s="376"/>
      <c r="P143" s="376"/>
      <c r="Q143" s="392"/>
      <c r="R143" s="218"/>
      <c r="S143" s="364" t="str">
        <f>IF(L143=TRUE,"a","r")</f>
        <v>r</v>
      </c>
    </row>
    <row r="144" spans="2:19" s="22" customFormat="1">
      <c r="B144" s="53"/>
      <c r="C144" s="359"/>
      <c r="D144" s="359"/>
      <c r="E144" s="359"/>
      <c r="F144" s="359"/>
      <c r="G144" s="359"/>
      <c r="H144" s="359"/>
      <c r="I144" s="359"/>
      <c r="J144" s="359"/>
      <c r="K144" s="359"/>
      <c r="L144" s="213"/>
      <c r="M144" s="35"/>
      <c r="N144" s="18"/>
      <c r="O144" s="18"/>
      <c r="P144" s="18"/>
      <c r="Q144" s="46"/>
      <c r="R144" s="218"/>
      <c r="S144" s="365"/>
    </row>
    <row r="145" spans="2:19" ht="6.6" customHeight="1">
      <c r="B145" s="55"/>
      <c r="C145" s="56"/>
      <c r="D145" s="56"/>
      <c r="E145" s="56"/>
      <c r="F145" s="56"/>
      <c r="G145" s="56"/>
      <c r="H145" s="56"/>
      <c r="I145" s="56"/>
      <c r="J145" s="56"/>
      <c r="K145" s="56"/>
      <c r="L145" s="254"/>
      <c r="M145" s="47"/>
      <c r="N145" s="63"/>
      <c r="O145" s="63"/>
      <c r="P145" s="63"/>
      <c r="Q145" s="89"/>
      <c r="R145" s="218"/>
      <c r="S145" s="365"/>
    </row>
    <row r="146" spans="2:19" s="22" customFormat="1">
      <c r="B146" s="18"/>
      <c r="L146" s="63"/>
      <c r="M146" s="18"/>
      <c r="N146" s="18"/>
      <c r="O146" s="18"/>
      <c r="P146" s="18"/>
      <c r="Q146" s="18"/>
      <c r="R146" s="77"/>
      <c r="S146" s="118"/>
    </row>
    <row r="147" spans="2:19" s="22" customFormat="1" ht="27" customHeight="1">
      <c r="B147" s="369" t="s">
        <v>564</v>
      </c>
      <c r="C147" s="370"/>
      <c r="D147" s="370"/>
      <c r="E147" s="370"/>
      <c r="F147" s="370"/>
      <c r="G147" s="370"/>
      <c r="H147" s="370"/>
      <c r="I147" s="370"/>
      <c r="J147" s="370"/>
      <c r="K147" s="370"/>
      <c r="L147" s="371"/>
      <c r="M147" s="370"/>
      <c r="N147" s="370"/>
      <c r="O147" s="370"/>
      <c r="P147" s="370"/>
      <c r="Q147" s="372"/>
      <c r="R147" s="119"/>
      <c r="S147" s="97" t="str">
        <f>IF(S148="Does not apply","Does not apply",IF(S151="a","Compliant","Not Compliant"))</f>
        <v>Not Compliant</v>
      </c>
    </row>
    <row r="148" spans="2:19">
      <c r="B148" s="35"/>
      <c r="C148" s="377" t="s">
        <v>386</v>
      </c>
      <c r="D148" s="377"/>
      <c r="E148" s="377"/>
      <c r="F148" s="377"/>
      <c r="G148" s="377"/>
      <c r="H148" s="377"/>
      <c r="I148" s="377"/>
      <c r="J148" s="377"/>
      <c r="K148" s="98"/>
      <c r="L148" s="213" t="b">
        <v>0</v>
      </c>
      <c r="M148" s="41"/>
      <c r="N148" s="360" t="str">
        <f>IF(L148=TRUE,"","Third-party certifications that the palm oil and palm kernel oil used in the manufacturing of the product originates from sustainably managed plantations")</f>
        <v>Third-party certifications that the palm oil and palm kernel oil used in the manufacturing of the product originates from sustainably managed plantations</v>
      </c>
      <c r="O148" s="360"/>
      <c r="P148" s="360"/>
      <c r="Q148" s="361"/>
      <c r="R148" s="218" t="b">
        <v>0</v>
      </c>
      <c r="S148" s="373" t="str">
        <f>IF(L148=TRUE,"Does not apply","Apply")</f>
        <v>Apply</v>
      </c>
    </row>
    <row r="149" spans="2:19">
      <c r="B149" s="35"/>
      <c r="C149" s="377"/>
      <c r="D149" s="377"/>
      <c r="E149" s="377"/>
      <c r="F149" s="377"/>
      <c r="G149" s="377"/>
      <c r="H149" s="377"/>
      <c r="I149" s="377"/>
      <c r="J149" s="377"/>
      <c r="K149" s="98"/>
      <c r="L149" s="213"/>
      <c r="M149" s="35"/>
      <c r="N149" s="362"/>
      <c r="O149" s="362"/>
      <c r="P149" s="362"/>
      <c r="Q149" s="363"/>
      <c r="R149" s="77"/>
      <c r="S149" s="374"/>
    </row>
    <row r="150" spans="2:19" ht="6" customHeight="1">
      <c r="B150" s="35"/>
      <c r="C150" s="18"/>
      <c r="D150" s="18"/>
      <c r="E150" s="18"/>
      <c r="F150" s="18"/>
      <c r="G150" s="18"/>
      <c r="H150" s="18"/>
      <c r="I150" s="18"/>
      <c r="J150" s="18"/>
      <c r="K150" s="18"/>
      <c r="L150" s="213"/>
      <c r="M150" s="35"/>
      <c r="N150" s="362"/>
      <c r="O150" s="362"/>
      <c r="P150" s="362"/>
      <c r="Q150" s="363"/>
      <c r="R150" s="77"/>
      <c r="S150" s="375"/>
    </row>
    <row r="151" spans="2:19">
      <c r="B151" s="35"/>
      <c r="C151" s="120" t="s">
        <v>385</v>
      </c>
      <c r="D151" s="18"/>
      <c r="E151" s="18"/>
      <c r="F151" s="18"/>
      <c r="G151" s="18"/>
      <c r="H151" s="18"/>
      <c r="I151" s="18"/>
      <c r="J151" s="18"/>
      <c r="K151" s="18"/>
      <c r="L151" s="213" t="b">
        <v>0</v>
      </c>
      <c r="M151" s="35"/>
      <c r="N151" s="362"/>
      <c r="O151" s="362"/>
      <c r="P151" s="362"/>
      <c r="Q151" s="363"/>
      <c r="R151" s="77"/>
      <c r="S151" s="368" t="str">
        <f>IF(AND(L151=TRUE,R148=TRUE),"a","r")</f>
        <v>r</v>
      </c>
    </row>
    <row r="152" spans="2:19" ht="12.6" customHeight="1">
      <c r="B152" s="35"/>
      <c r="C152" s="18"/>
      <c r="D152" s="376" t="s">
        <v>387</v>
      </c>
      <c r="E152" s="376"/>
      <c r="F152" s="376"/>
      <c r="G152" s="376"/>
      <c r="H152" s="376"/>
      <c r="I152" s="376"/>
      <c r="J152" s="376"/>
      <c r="K152" s="96"/>
      <c r="L152" s="213"/>
      <c r="M152" s="35"/>
      <c r="N152" s="18"/>
      <c r="O152" s="18"/>
      <c r="P152" s="18"/>
      <c r="Q152" s="46"/>
      <c r="R152" s="77"/>
      <c r="S152" s="368"/>
    </row>
    <row r="153" spans="2:19">
      <c r="B153" s="35"/>
      <c r="C153" s="18"/>
      <c r="D153" s="376"/>
      <c r="E153" s="376"/>
      <c r="F153" s="376"/>
      <c r="G153" s="376"/>
      <c r="H153" s="376"/>
      <c r="I153" s="376"/>
      <c r="J153" s="376"/>
      <c r="K153" s="96"/>
      <c r="L153" s="213"/>
      <c r="M153" s="35"/>
      <c r="N153" s="18"/>
      <c r="O153" s="18"/>
      <c r="P153" s="18"/>
      <c r="Q153" s="46"/>
      <c r="R153" s="77"/>
      <c r="S153" s="368"/>
    </row>
    <row r="154" spans="2:19">
      <c r="B154" s="35"/>
      <c r="C154" s="18"/>
      <c r="D154" s="377" t="s">
        <v>388</v>
      </c>
      <c r="E154" s="377"/>
      <c r="F154" s="377"/>
      <c r="G154" s="377"/>
      <c r="H154" s="377"/>
      <c r="I154" s="377"/>
      <c r="J154" s="377"/>
      <c r="K154" s="98"/>
      <c r="L154" s="213"/>
      <c r="M154" s="35"/>
      <c r="N154" s="18"/>
      <c r="O154" s="18"/>
      <c r="P154" s="18"/>
      <c r="Q154" s="46"/>
      <c r="R154" s="77"/>
      <c r="S154" s="368"/>
    </row>
    <row r="155" spans="2:19">
      <c r="B155" s="35"/>
      <c r="C155" s="18"/>
      <c r="D155" s="377"/>
      <c r="E155" s="377"/>
      <c r="F155" s="377"/>
      <c r="G155" s="377"/>
      <c r="H155" s="377"/>
      <c r="I155" s="377"/>
      <c r="J155" s="377"/>
      <c r="K155" s="98"/>
      <c r="L155" s="38"/>
      <c r="M155" s="35"/>
      <c r="N155" s="18"/>
      <c r="O155" s="18"/>
      <c r="P155" s="18"/>
      <c r="Q155" s="46"/>
      <c r="R155" s="77"/>
      <c r="S155" s="368"/>
    </row>
    <row r="156" spans="2:19" ht="6" customHeight="1">
      <c r="B156" s="47"/>
      <c r="C156" s="63"/>
      <c r="D156" s="63"/>
      <c r="E156" s="63"/>
      <c r="F156" s="63"/>
      <c r="G156" s="63"/>
      <c r="H156" s="63"/>
      <c r="I156" s="63"/>
      <c r="J156" s="63"/>
      <c r="K156" s="63"/>
      <c r="L156" s="56"/>
      <c r="M156" s="47"/>
      <c r="N156" s="63"/>
      <c r="O156" s="63"/>
      <c r="P156" s="63"/>
      <c r="Q156" s="89"/>
      <c r="R156" s="33"/>
      <c r="S156" s="109"/>
    </row>
    <row r="158" spans="2:19" s="22" customFormat="1" ht="27" customHeight="1">
      <c r="B158" s="369" t="s">
        <v>565</v>
      </c>
      <c r="C158" s="370"/>
      <c r="D158" s="370"/>
      <c r="E158" s="370"/>
      <c r="F158" s="370"/>
      <c r="G158" s="370"/>
      <c r="H158" s="370"/>
      <c r="I158" s="370"/>
      <c r="J158" s="370"/>
      <c r="K158" s="370"/>
      <c r="L158" s="370"/>
      <c r="M158" s="370"/>
      <c r="N158" s="370"/>
      <c r="O158" s="370"/>
      <c r="P158" s="370"/>
      <c r="Q158" s="372"/>
      <c r="R158" s="119"/>
      <c r="S158" s="97" t="str">
        <f>IF(AND(S159="a",R159=TRUE),"Compliant","Not Compliant")</f>
        <v>Not Compliant</v>
      </c>
    </row>
    <row r="159" spans="2:19" s="22" customFormat="1">
      <c r="B159" s="35"/>
      <c r="C159" s="376" t="s">
        <v>567</v>
      </c>
      <c r="D159" s="376"/>
      <c r="E159" s="376"/>
      <c r="F159" s="376"/>
      <c r="G159" s="376"/>
      <c r="H159" s="376"/>
      <c r="I159" s="376"/>
      <c r="J159" s="376"/>
      <c r="K159" s="98"/>
      <c r="L159" s="213" t="b">
        <v>0</v>
      </c>
      <c r="M159" s="41"/>
      <c r="N159" s="360" t="s">
        <v>566</v>
      </c>
      <c r="O159" s="360"/>
      <c r="P159" s="360"/>
      <c r="Q159" s="361"/>
      <c r="R159" s="218" t="b">
        <v>0</v>
      </c>
      <c r="S159" s="364" t="str">
        <f>IF(L159=TRUE,"a","r")</f>
        <v>r</v>
      </c>
    </row>
    <row r="160" spans="2:19" s="22" customFormat="1">
      <c r="B160" s="35"/>
      <c r="C160" s="376"/>
      <c r="D160" s="376"/>
      <c r="E160" s="376"/>
      <c r="F160" s="376"/>
      <c r="G160" s="376"/>
      <c r="H160" s="376"/>
      <c r="I160" s="376"/>
      <c r="J160" s="376"/>
      <c r="K160" s="98"/>
      <c r="L160" s="213"/>
      <c r="M160" s="35"/>
      <c r="N160" s="362"/>
      <c r="O160" s="362"/>
      <c r="P160" s="362"/>
      <c r="Q160" s="363"/>
      <c r="R160" s="77"/>
      <c r="S160" s="365"/>
    </row>
    <row r="161" spans="2:19" s="22" customFormat="1" ht="6" customHeight="1">
      <c r="B161" s="47"/>
      <c r="C161" s="63"/>
      <c r="D161" s="63"/>
      <c r="E161" s="63"/>
      <c r="F161" s="63"/>
      <c r="G161" s="63"/>
      <c r="H161" s="63"/>
      <c r="I161" s="63"/>
      <c r="J161" s="63"/>
      <c r="K161" s="63"/>
      <c r="L161" s="56"/>
      <c r="M161" s="47"/>
      <c r="N161" s="63"/>
      <c r="O161" s="63"/>
      <c r="P161" s="63"/>
      <c r="Q161" s="89"/>
      <c r="R161" s="33"/>
      <c r="S161" s="109"/>
    </row>
    <row r="163" spans="2:19" s="22" customFormat="1" ht="27" customHeight="1">
      <c r="B163" s="369" t="s">
        <v>569</v>
      </c>
      <c r="C163" s="370"/>
      <c r="D163" s="370"/>
      <c r="E163" s="370"/>
      <c r="F163" s="370"/>
      <c r="G163" s="370"/>
      <c r="H163" s="370"/>
      <c r="I163" s="370"/>
      <c r="J163" s="370"/>
      <c r="K163" s="370"/>
      <c r="L163" s="370"/>
      <c r="M163" s="370"/>
      <c r="N163" s="370"/>
      <c r="O163" s="370"/>
      <c r="P163" s="370"/>
      <c r="Q163" s="372"/>
      <c r="R163" s="119"/>
      <c r="S163" s="97" t="str">
        <f>IF(AND(S164="a",S167="a",R164=TRUE),"Compliant","Not Compliant")</f>
        <v>Not Compliant</v>
      </c>
    </row>
    <row r="164" spans="2:19" s="22" customFormat="1" ht="12.75" customHeight="1">
      <c r="B164" s="35"/>
      <c r="C164" s="121" t="s">
        <v>453</v>
      </c>
      <c r="D164" s="95"/>
      <c r="E164" s="95"/>
      <c r="F164" s="95"/>
      <c r="G164" s="95"/>
      <c r="H164" s="95"/>
      <c r="I164" s="95"/>
      <c r="J164" s="95"/>
      <c r="K164" s="98"/>
      <c r="L164" s="213" t="b">
        <v>0</v>
      </c>
      <c r="M164" s="41"/>
      <c r="N164" s="360" t="s">
        <v>454</v>
      </c>
      <c r="O164" s="360"/>
      <c r="P164" s="360"/>
      <c r="Q164" s="361"/>
      <c r="R164" s="218" t="b">
        <v>0</v>
      </c>
      <c r="S164" s="364" t="str">
        <f>IF(L164=TRUE,"a","r")</f>
        <v>r</v>
      </c>
    </row>
    <row r="165" spans="2:19" s="22" customFormat="1">
      <c r="B165" s="35"/>
      <c r="C165" s="95"/>
      <c r="D165" s="95"/>
      <c r="E165" s="95"/>
      <c r="F165" s="95"/>
      <c r="G165" s="95"/>
      <c r="H165" s="95"/>
      <c r="I165" s="95"/>
      <c r="J165" s="95"/>
      <c r="K165" s="98"/>
      <c r="L165" s="213"/>
      <c r="M165" s="35"/>
      <c r="N165" s="362"/>
      <c r="O165" s="362"/>
      <c r="P165" s="362"/>
      <c r="Q165" s="363"/>
      <c r="R165" s="77"/>
      <c r="S165" s="365"/>
    </row>
    <row r="166" spans="2:19" s="22" customFormat="1" ht="6" customHeight="1">
      <c r="B166" s="35"/>
      <c r="C166" s="18"/>
      <c r="D166" s="18"/>
      <c r="E166" s="18"/>
      <c r="F166" s="18"/>
      <c r="G166" s="18"/>
      <c r="H166" s="18"/>
      <c r="I166" s="18"/>
      <c r="J166" s="18"/>
      <c r="K166" s="18"/>
      <c r="L166" s="213"/>
      <c r="M166" s="35"/>
      <c r="N166" s="362"/>
      <c r="O166" s="362"/>
      <c r="P166" s="362"/>
      <c r="Q166" s="363"/>
      <c r="R166" s="77"/>
      <c r="S166" s="366"/>
    </row>
    <row r="167" spans="2:19" s="22" customFormat="1">
      <c r="B167" s="35"/>
      <c r="C167" s="367" t="s">
        <v>568</v>
      </c>
      <c r="D167" s="367"/>
      <c r="E167" s="367"/>
      <c r="F167" s="367"/>
      <c r="G167" s="367"/>
      <c r="H167" s="367"/>
      <c r="I167" s="367"/>
      <c r="J167" s="367"/>
      <c r="K167" s="18"/>
      <c r="L167" s="213" t="b">
        <v>0</v>
      </c>
      <c r="M167" s="35"/>
      <c r="N167" s="18"/>
      <c r="O167" s="18"/>
      <c r="P167" s="18"/>
      <c r="Q167" s="46"/>
      <c r="R167" s="77"/>
      <c r="S167" s="368" t="str">
        <f>IF(L167=TRUE,"a","r")</f>
        <v>r</v>
      </c>
    </row>
    <row r="168" spans="2:19" s="22" customFormat="1" ht="12" customHeight="1">
      <c r="B168" s="35"/>
      <c r="C168" s="367"/>
      <c r="D168" s="367"/>
      <c r="E168" s="367"/>
      <c r="F168" s="367"/>
      <c r="G168" s="367"/>
      <c r="H168" s="367"/>
      <c r="I168" s="367"/>
      <c r="J168" s="367"/>
      <c r="K168" s="96"/>
      <c r="L168" s="213"/>
      <c r="M168" s="35"/>
      <c r="N168" s="18"/>
      <c r="O168" s="18"/>
      <c r="P168" s="18"/>
      <c r="Q168" s="46"/>
      <c r="R168" s="77"/>
      <c r="S168" s="368"/>
    </row>
    <row r="169" spans="2:19" s="22" customFormat="1" ht="6" customHeight="1">
      <c r="B169" s="47"/>
      <c r="C169" s="63"/>
      <c r="D169" s="63"/>
      <c r="E169" s="63"/>
      <c r="F169" s="63"/>
      <c r="G169" s="63"/>
      <c r="H169" s="63"/>
      <c r="I169" s="63"/>
      <c r="J169" s="63"/>
      <c r="K169" s="63"/>
      <c r="L169" s="56"/>
      <c r="M169" s="47"/>
      <c r="N169" s="63"/>
      <c r="O169" s="63"/>
      <c r="P169" s="63"/>
      <c r="Q169" s="89"/>
      <c r="R169" s="33"/>
      <c r="S169" s="109"/>
    </row>
  </sheetData>
  <sheetProtection algorithmName="SHA-512" hashValue="UXEJ3xuyobYbmSabMG7PS2ibXQYW2r0SnMcwGUtc3np8t7n4Iqa/SBv0/yFvinmYfBJDaxml89gWAoRsnrv2cQ==" saltValue="MJYk2ouxYG8YNwNBwUMCNg==" spinCount="100000" sheet="1" selectLockedCells="1"/>
  <mergeCells count="111">
    <mergeCell ref="N28:Q29"/>
    <mergeCell ref="S28:S29"/>
    <mergeCell ref="S73:S75"/>
    <mergeCell ref="S108:S109"/>
    <mergeCell ref="S141:S142"/>
    <mergeCell ref="S143:S145"/>
    <mergeCell ref="S34:S36"/>
    <mergeCell ref="S37:S43"/>
    <mergeCell ref="S44:S48"/>
    <mergeCell ref="S50:S52"/>
    <mergeCell ref="S59:S60"/>
    <mergeCell ref="S61:S63"/>
    <mergeCell ref="S67:S69"/>
    <mergeCell ref="S65:S66"/>
    <mergeCell ref="S90:S91"/>
    <mergeCell ref="N114:Q115"/>
    <mergeCell ref="N116:Q118"/>
    <mergeCell ref="S112:S113"/>
    <mergeCell ref="S121:S122"/>
    <mergeCell ref="N141:Q143"/>
    <mergeCell ref="S54:S57"/>
    <mergeCell ref="S92:S94"/>
    <mergeCell ref="S13:S17"/>
    <mergeCell ref="F40:H40"/>
    <mergeCell ref="C50:J51"/>
    <mergeCell ref="I40:J40"/>
    <mergeCell ref="I41:J41"/>
    <mergeCell ref="I42:J42"/>
    <mergeCell ref="I46:J46"/>
    <mergeCell ref="F47:H47"/>
    <mergeCell ref="S131:S133"/>
    <mergeCell ref="S127:S129"/>
    <mergeCell ref="S124:S126"/>
    <mergeCell ref="S116:S117"/>
    <mergeCell ref="N13:Q14"/>
    <mergeCell ref="N16:Q16"/>
    <mergeCell ref="B102:S102"/>
    <mergeCell ref="N20:Q22"/>
    <mergeCell ref="N23:Q23"/>
    <mergeCell ref="N26:Q27"/>
    <mergeCell ref="C34:J35"/>
    <mergeCell ref="F39:H39"/>
    <mergeCell ref="I39:J39"/>
    <mergeCell ref="E40:E42"/>
    <mergeCell ref="D40:D42"/>
    <mergeCell ref="S114:S115"/>
    <mergeCell ref="C5:D5"/>
    <mergeCell ref="C6:D6"/>
    <mergeCell ref="C13:J14"/>
    <mergeCell ref="G24:H24"/>
    <mergeCell ref="C23:D23"/>
    <mergeCell ref="N3:Q5"/>
    <mergeCell ref="S3:S6"/>
    <mergeCell ref="F46:H46"/>
    <mergeCell ref="S118:S120"/>
    <mergeCell ref="F41:H41"/>
    <mergeCell ref="F42:H42"/>
    <mergeCell ref="S95:S100"/>
    <mergeCell ref="S77:S78"/>
    <mergeCell ref="S79:S81"/>
    <mergeCell ref="S82:S87"/>
    <mergeCell ref="S71:S72"/>
    <mergeCell ref="S110:S111"/>
    <mergeCell ref="S106:S107"/>
    <mergeCell ref="N8:Q9"/>
    <mergeCell ref="S20:S24"/>
    <mergeCell ref="S25:S27"/>
    <mergeCell ref="D46:E46"/>
    <mergeCell ref="D47:E47"/>
    <mergeCell ref="S7:S9"/>
    <mergeCell ref="M1:Q1"/>
    <mergeCell ref="C148:J149"/>
    <mergeCell ref="D152:J153"/>
    <mergeCell ref="C124:J125"/>
    <mergeCell ref="C16:D16"/>
    <mergeCell ref="C17:D17"/>
    <mergeCell ref="C20:J21"/>
    <mergeCell ref="G17:H17"/>
    <mergeCell ref="C24:D24"/>
    <mergeCell ref="G23:H23"/>
    <mergeCell ref="B2:Q2"/>
    <mergeCell ref="B11:S11"/>
    <mergeCell ref="C108:J109"/>
    <mergeCell ref="D128:J129"/>
    <mergeCell ref="G16:H16"/>
    <mergeCell ref="S135:S136"/>
    <mergeCell ref="S137:S139"/>
    <mergeCell ref="S103:S104"/>
    <mergeCell ref="B31:S31"/>
    <mergeCell ref="C79:J80"/>
    <mergeCell ref="I47:J47"/>
    <mergeCell ref="C92:J93"/>
    <mergeCell ref="C73:J74"/>
    <mergeCell ref="C59:J60"/>
    <mergeCell ref="C65:J66"/>
    <mergeCell ref="C54:J56"/>
    <mergeCell ref="C143:K144"/>
    <mergeCell ref="N164:Q166"/>
    <mergeCell ref="S164:S166"/>
    <mergeCell ref="C167:J168"/>
    <mergeCell ref="S167:S168"/>
    <mergeCell ref="B147:Q147"/>
    <mergeCell ref="S148:S150"/>
    <mergeCell ref="S151:S155"/>
    <mergeCell ref="B158:Q158"/>
    <mergeCell ref="C159:J160"/>
    <mergeCell ref="N159:Q160"/>
    <mergeCell ref="S159:S160"/>
    <mergeCell ref="N148:Q151"/>
    <mergeCell ref="B163:Q163"/>
    <mergeCell ref="D154:J155"/>
  </mergeCells>
  <conditionalFormatting sqref="L5:M5">
    <cfRule type="cellIs" dxfId="49" priority="49" operator="equal">
      <formula>"""No ok"""</formula>
    </cfRule>
  </conditionalFormatting>
  <conditionalFormatting sqref="L16:M16">
    <cfRule type="cellIs" dxfId="48" priority="57" operator="equal">
      <formula>"""No ok"""</formula>
    </cfRule>
  </conditionalFormatting>
  <conditionalFormatting sqref="L17:M17">
    <cfRule type="cellIs" dxfId="47" priority="48" operator="equal">
      <formula>"""No ok"""</formula>
    </cfRule>
  </conditionalFormatting>
  <conditionalFormatting sqref="L23:M23">
    <cfRule type="cellIs" dxfId="46" priority="54" operator="equal">
      <formula>"""No ok"""</formula>
    </cfRule>
  </conditionalFormatting>
  <conditionalFormatting sqref="L24:M24">
    <cfRule type="cellIs" dxfId="45" priority="47" operator="equal">
      <formula>"""No ok"""</formula>
    </cfRule>
    <cfRule type="cellIs" dxfId="44" priority="53" operator="equal">
      <formula>"No ok"</formula>
    </cfRule>
  </conditionalFormatting>
  <conditionalFormatting sqref="S12">
    <cfRule type="cellIs" dxfId="43" priority="45" operator="equal">
      <formula>"Compliant"</formula>
    </cfRule>
    <cfRule type="cellIs" dxfId="42" priority="46" operator="equal">
      <formula>"Not Compliant"</formula>
    </cfRule>
  </conditionalFormatting>
  <conditionalFormatting sqref="S2">
    <cfRule type="cellIs" dxfId="41" priority="43" operator="equal">
      <formula>"Not Compliant"</formula>
    </cfRule>
    <cfRule type="cellIs" dxfId="40" priority="44" operator="equal">
      <formula>"Compliant"</formula>
    </cfRule>
  </conditionalFormatting>
  <conditionalFormatting sqref="S19">
    <cfRule type="cellIs" dxfId="39" priority="26" operator="equal">
      <formula>"Not Compliant"</formula>
    </cfRule>
    <cfRule type="cellIs" dxfId="38" priority="42" operator="equal">
      <formula>"Compliant"</formula>
    </cfRule>
  </conditionalFormatting>
  <conditionalFormatting sqref="S105">
    <cfRule type="cellIs" dxfId="37" priority="39" operator="equal">
      <formula>"Compliant"</formula>
    </cfRule>
    <cfRule type="cellIs" dxfId="36" priority="40" operator="equal">
      <formula>"Not Compliant"</formula>
    </cfRule>
  </conditionalFormatting>
  <conditionalFormatting sqref="S103">
    <cfRule type="cellIs" dxfId="35" priority="37" operator="equal">
      <formula>"Not Compliant"</formula>
    </cfRule>
    <cfRule type="cellIs" dxfId="34" priority="38" operator="equal">
      <formula>"Compliant"</formula>
    </cfRule>
  </conditionalFormatting>
  <conditionalFormatting sqref="S112">
    <cfRule type="cellIs" dxfId="33" priority="35" operator="equal">
      <formula>"Compliant"</formula>
    </cfRule>
    <cfRule type="cellIs" dxfId="32" priority="36" operator="equal">
      <formula>"Not Compliant"</formula>
    </cfRule>
  </conditionalFormatting>
  <conditionalFormatting sqref="S123">
    <cfRule type="cellIs" dxfId="31" priority="30" operator="equal">
      <formula>"Not Compliant"</formula>
    </cfRule>
    <cfRule type="cellIs" dxfId="30" priority="31" operator="equal">
      <formula>"Compliant"</formula>
    </cfRule>
  </conditionalFormatting>
  <conditionalFormatting sqref="S121">
    <cfRule type="cellIs" dxfId="29" priority="33" operator="equal">
      <formula>"Not Compliant"</formula>
    </cfRule>
    <cfRule type="cellIs" dxfId="28" priority="34" operator="equal">
      <formula>"Compliant"</formula>
    </cfRule>
  </conditionalFormatting>
  <conditionalFormatting sqref="S134">
    <cfRule type="cellIs" dxfId="27" priority="29" operator="equal">
      <formula>"Not Compliant"</formula>
    </cfRule>
    <cfRule type="cellIs" dxfId="26" priority="32" operator="equal">
      <formula>"Compliant"</formula>
    </cfRule>
  </conditionalFormatting>
  <conditionalFormatting sqref="S140">
    <cfRule type="cellIs" dxfId="25" priority="27" operator="equal">
      <formula>"Compliant"</formula>
    </cfRule>
    <cfRule type="cellIs" dxfId="24" priority="28" operator="equal">
      <formula>"Not Compliant"</formula>
    </cfRule>
  </conditionalFormatting>
  <conditionalFormatting sqref="S33">
    <cfRule type="cellIs" dxfId="23" priority="25" operator="equal">
      <formula>"Compliant"</formula>
    </cfRule>
    <cfRule type="cellIs" dxfId="22" priority="41" operator="equal">
      <formula>"Not Compliant"</formula>
    </cfRule>
  </conditionalFormatting>
  <conditionalFormatting sqref="S49">
    <cfRule type="cellIs" dxfId="21" priority="23" operator="equal">
      <formula>"Not Compliant"</formula>
    </cfRule>
    <cfRule type="cellIs" dxfId="20" priority="24" operator="equal">
      <formula>"Compliant"</formula>
    </cfRule>
  </conditionalFormatting>
  <conditionalFormatting sqref="S53">
    <cfRule type="cellIs" dxfId="19" priority="21" operator="equal">
      <formula>"Not Compliant"</formula>
    </cfRule>
    <cfRule type="cellIs" dxfId="18" priority="22" operator="equal">
      <formula>"Compliant"</formula>
    </cfRule>
  </conditionalFormatting>
  <conditionalFormatting sqref="S58">
    <cfRule type="cellIs" dxfId="17" priority="19" operator="equal">
      <formula>"Compliant"</formula>
    </cfRule>
    <cfRule type="cellIs" dxfId="16" priority="20" operator="equal">
      <formula>"Not Compliant"</formula>
    </cfRule>
  </conditionalFormatting>
  <conditionalFormatting sqref="S64">
    <cfRule type="cellIs" dxfId="15" priority="17" operator="equal">
      <formula>"Compliant"</formula>
    </cfRule>
    <cfRule type="cellIs" dxfId="14" priority="18" operator="equal">
      <formula>"Not Compliant"</formula>
    </cfRule>
  </conditionalFormatting>
  <conditionalFormatting sqref="S70">
    <cfRule type="cellIs" dxfId="13" priority="15" operator="equal">
      <formula>"Compliant"</formula>
    </cfRule>
    <cfRule type="cellIs" dxfId="12" priority="16" operator="equal">
      <formula>"Not Compliant"</formula>
    </cfRule>
  </conditionalFormatting>
  <conditionalFormatting sqref="S76">
    <cfRule type="cellIs" dxfId="11" priority="13" operator="equal">
      <formula>"Not Compliant"</formula>
    </cfRule>
    <cfRule type="cellIs" dxfId="10" priority="14" operator="equal">
      <formula>"Compliant"</formula>
    </cfRule>
  </conditionalFormatting>
  <conditionalFormatting sqref="S89">
    <cfRule type="cellIs" dxfId="9" priority="11" operator="equal">
      <formula>"Not Compliant"</formula>
    </cfRule>
    <cfRule type="cellIs" dxfId="8" priority="12" operator="equal">
      <formula>"Compliant"</formula>
    </cfRule>
  </conditionalFormatting>
  <conditionalFormatting sqref="S147">
    <cfRule type="cellIs" dxfId="7" priority="7" operator="equal">
      <formula>"Compliant"</formula>
    </cfRule>
    <cfRule type="cellIs" dxfId="6" priority="8" operator="equal">
      <formula>"Not Compliant"</formula>
    </cfRule>
  </conditionalFormatting>
  <conditionalFormatting sqref="S158">
    <cfRule type="cellIs" dxfId="5" priority="5" operator="equal">
      <formula>"Compliant"</formula>
    </cfRule>
    <cfRule type="cellIs" dxfId="4" priority="6" operator="equal">
      <formula>"Not Compliant"</formula>
    </cfRule>
  </conditionalFormatting>
  <conditionalFormatting sqref="S163">
    <cfRule type="cellIs" dxfId="3" priority="3" operator="equal">
      <formula>"Compliant"</formula>
    </cfRule>
    <cfRule type="cellIs" dxfId="2" priority="4" operator="equal">
      <formula>"Not Compliant"</formula>
    </cfRule>
  </conditionalFormatting>
  <conditionalFormatting sqref="S32">
    <cfRule type="cellIs" dxfId="1" priority="1" operator="equal">
      <formula>"Not Compliant"</formula>
    </cfRule>
    <cfRule type="cellIs" dxfId="0" priority="2" operator="equal">
      <formula>"Compliant"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28575</xdr:colOff>
                    <xdr:row>1</xdr:row>
                    <xdr:rowOff>342900</xdr:rowOff>
                  </from>
                  <to>
                    <xdr:col>3</xdr:col>
                    <xdr:colOff>104775</xdr:colOff>
                    <xdr:row>3</xdr:row>
                    <xdr:rowOff>19050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9525</xdr:colOff>
                    <xdr:row>11</xdr:row>
                    <xdr:rowOff>171450</xdr:rowOff>
                  </from>
                  <to>
                    <xdr:col>3</xdr:col>
                    <xdr:colOff>85725</xdr:colOff>
                    <xdr:row>13</xdr:row>
                    <xdr:rowOff>28575</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28575</xdr:colOff>
                    <xdr:row>19</xdr:row>
                    <xdr:rowOff>0</xdr:rowOff>
                  </from>
                  <to>
                    <xdr:col>3</xdr:col>
                    <xdr:colOff>171450</xdr:colOff>
                    <xdr:row>20</xdr:row>
                    <xdr:rowOff>38100</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1</xdr:col>
                    <xdr:colOff>19050</xdr:colOff>
                    <xdr:row>6</xdr:row>
                    <xdr:rowOff>133350</xdr:rowOff>
                  </from>
                  <to>
                    <xdr:col>3</xdr:col>
                    <xdr:colOff>114300</xdr:colOff>
                    <xdr:row>8</xdr:row>
                    <xdr:rowOff>38100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12</xdr:col>
                    <xdr:colOff>19050</xdr:colOff>
                    <xdr:row>2</xdr:row>
                    <xdr:rowOff>9525</xdr:rowOff>
                  </from>
                  <to>
                    <xdr:col>13</xdr:col>
                    <xdr:colOff>447675</xdr:colOff>
                    <xdr:row>3</xdr:row>
                    <xdr:rowOff>28575</xdr:rowOff>
                  </to>
                </anchor>
              </controlPr>
            </control>
          </mc:Choice>
        </mc:AlternateContent>
        <mc:AlternateContent xmlns:mc="http://schemas.openxmlformats.org/markup-compatibility/2006">
          <mc:Choice Requires="x14">
            <control shapeId="8205" r:id="rId9" name="Check Box 13">
              <controlPr defaultSize="0" autoFill="0" autoLine="0" autoPict="0">
                <anchor moveWithCells="1">
                  <from>
                    <xdr:col>1</xdr:col>
                    <xdr:colOff>19050</xdr:colOff>
                    <xdr:row>24</xdr:row>
                    <xdr:rowOff>133350</xdr:rowOff>
                  </from>
                  <to>
                    <xdr:col>3</xdr:col>
                    <xdr:colOff>114300</xdr:colOff>
                    <xdr:row>26</xdr:row>
                    <xdr:rowOff>28575</xdr:rowOff>
                  </to>
                </anchor>
              </controlPr>
            </control>
          </mc:Choice>
        </mc:AlternateContent>
        <mc:AlternateContent xmlns:mc="http://schemas.openxmlformats.org/markup-compatibility/2006">
          <mc:Choice Requires="x14">
            <control shapeId="8206" r:id="rId10" name="Check Box 14">
              <controlPr defaultSize="0" autoFill="0" autoLine="0" autoPict="0">
                <anchor moveWithCells="1">
                  <from>
                    <xdr:col>12</xdr:col>
                    <xdr:colOff>47625</xdr:colOff>
                    <xdr:row>18</xdr:row>
                    <xdr:rowOff>180975</xdr:rowOff>
                  </from>
                  <to>
                    <xdr:col>13</xdr:col>
                    <xdr:colOff>466725</xdr:colOff>
                    <xdr:row>20</xdr:row>
                    <xdr:rowOff>9525</xdr:rowOff>
                  </to>
                </anchor>
              </controlPr>
            </control>
          </mc:Choice>
        </mc:AlternateContent>
        <mc:AlternateContent xmlns:mc="http://schemas.openxmlformats.org/markup-compatibility/2006">
          <mc:Choice Requires="x14">
            <control shapeId="8207" r:id="rId11" name="Check Box 15">
              <controlPr defaultSize="0" autoFill="0" autoLine="0" autoPict="0">
                <anchor moveWithCells="1">
                  <from>
                    <xdr:col>1</xdr:col>
                    <xdr:colOff>28575</xdr:colOff>
                    <xdr:row>26</xdr:row>
                    <xdr:rowOff>161925</xdr:rowOff>
                  </from>
                  <to>
                    <xdr:col>3</xdr:col>
                    <xdr:colOff>123825</xdr:colOff>
                    <xdr:row>28</xdr:row>
                    <xdr:rowOff>28575</xdr:rowOff>
                  </to>
                </anchor>
              </controlPr>
            </control>
          </mc:Choice>
        </mc:AlternateContent>
        <mc:AlternateContent xmlns:mc="http://schemas.openxmlformats.org/markup-compatibility/2006">
          <mc:Choice Requires="x14">
            <control shapeId="8208" r:id="rId12" name="Check Box 16">
              <controlPr defaultSize="0" autoFill="0" autoLine="0" autoPict="0">
                <anchor moveWithCells="1">
                  <from>
                    <xdr:col>12</xdr:col>
                    <xdr:colOff>47625</xdr:colOff>
                    <xdr:row>21</xdr:row>
                    <xdr:rowOff>57150</xdr:rowOff>
                  </from>
                  <to>
                    <xdr:col>13</xdr:col>
                    <xdr:colOff>466725</xdr:colOff>
                    <xdr:row>22</xdr:row>
                    <xdr:rowOff>180975</xdr:rowOff>
                  </to>
                </anchor>
              </controlPr>
            </control>
          </mc:Choice>
        </mc:AlternateContent>
        <mc:AlternateContent xmlns:mc="http://schemas.openxmlformats.org/markup-compatibility/2006">
          <mc:Choice Requires="x14">
            <control shapeId="8213" r:id="rId13" name="Check Box 21">
              <controlPr defaultSize="0" autoFill="0" autoLine="0" autoPict="0">
                <anchor moveWithCells="1">
                  <from>
                    <xdr:col>1</xdr:col>
                    <xdr:colOff>28575</xdr:colOff>
                    <xdr:row>101</xdr:row>
                    <xdr:rowOff>323850</xdr:rowOff>
                  </from>
                  <to>
                    <xdr:col>3</xdr:col>
                    <xdr:colOff>171450</xdr:colOff>
                    <xdr:row>103</xdr:row>
                    <xdr:rowOff>28575</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1</xdr:col>
                    <xdr:colOff>19050</xdr:colOff>
                    <xdr:row>104</xdr:row>
                    <xdr:rowOff>180975</xdr:rowOff>
                  </from>
                  <to>
                    <xdr:col>3</xdr:col>
                    <xdr:colOff>161925</xdr:colOff>
                    <xdr:row>106</xdr:row>
                    <xdr:rowOff>0</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1</xdr:col>
                    <xdr:colOff>19050</xdr:colOff>
                    <xdr:row>106</xdr:row>
                    <xdr:rowOff>142875</xdr:rowOff>
                  </from>
                  <to>
                    <xdr:col>3</xdr:col>
                    <xdr:colOff>161925</xdr:colOff>
                    <xdr:row>108</xdr:row>
                    <xdr:rowOff>28575</xdr:rowOff>
                  </to>
                </anchor>
              </controlPr>
            </control>
          </mc:Choice>
        </mc:AlternateContent>
        <mc:AlternateContent xmlns:mc="http://schemas.openxmlformats.org/markup-compatibility/2006">
          <mc:Choice Requires="x14">
            <control shapeId="8217" r:id="rId16" name="Check Box 25">
              <controlPr defaultSize="0" autoFill="0" autoLine="0" autoPict="0">
                <anchor moveWithCells="1">
                  <from>
                    <xdr:col>1</xdr:col>
                    <xdr:colOff>19050</xdr:colOff>
                    <xdr:row>108</xdr:row>
                    <xdr:rowOff>142875</xdr:rowOff>
                  </from>
                  <to>
                    <xdr:col>3</xdr:col>
                    <xdr:colOff>161925</xdr:colOff>
                    <xdr:row>110</xdr:row>
                    <xdr:rowOff>28575</xdr:rowOff>
                  </to>
                </anchor>
              </controlPr>
            </control>
          </mc:Choice>
        </mc:AlternateContent>
        <mc:AlternateContent xmlns:mc="http://schemas.openxmlformats.org/markup-compatibility/2006">
          <mc:Choice Requires="x14">
            <control shapeId="8218" r:id="rId17" name="Check Box 26">
              <controlPr defaultSize="0" autoFill="0" autoLine="0" autoPict="0">
                <anchor moveWithCells="1">
                  <from>
                    <xdr:col>2</xdr:col>
                    <xdr:colOff>28575</xdr:colOff>
                    <xdr:row>109</xdr:row>
                    <xdr:rowOff>142875</xdr:rowOff>
                  </from>
                  <to>
                    <xdr:col>3</xdr:col>
                    <xdr:colOff>419100</xdr:colOff>
                    <xdr:row>111</xdr:row>
                    <xdr:rowOff>28575</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12</xdr:col>
                    <xdr:colOff>47625</xdr:colOff>
                    <xdr:row>106</xdr:row>
                    <xdr:rowOff>66675</xdr:rowOff>
                  </from>
                  <to>
                    <xdr:col>13</xdr:col>
                    <xdr:colOff>466725</xdr:colOff>
                    <xdr:row>108</xdr:row>
                    <xdr:rowOff>19050</xdr:rowOff>
                  </to>
                </anchor>
              </controlPr>
            </control>
          </mc:Choice>
        </mc:AlternateContent>
        <mc:AlternateContent xmlns:mc="http://schemas.openxmlformats.org/markup-compatibility/2006">
          <mc:Choice Requires="x14">
            <control shapeId="8222" r:id="rId19" name="Check Box 30">
              <controlPr defaultSize="0" autoFill="0" autoLine="0" autoPict="0">
                <anchor moveWithCells="1">
                  <from>
                    <xdr:col>12</xdr:col>
                    <xdr:colOff>38100</xdr:colOff>
                    <xdr:row>104</xdr:row>
                    <xdr:rowOff>200025</xdr:rowOff>
                  </from>
                  <to>
                    <xdr:col>13</xdr:col>
                    <xdr:colOff>466725</xdr:colOff>
                    <xdr:row>106</xdr:row>
                    <xdr:rowOff>28575</xdr:rowOff>
                  </to>
                </anchor>
              </controlPr>
            </control>
          </mc:Choice>
        </mc:AlternateContent>
        <mc:AlternateContent xmlns:mc="http://schemas.openxmlformats.org/markup-compatibility/2006">
          <mc:Choice Requires="x14">
            <control shapeId="8224" r:id="rId20" name="Check Box 32">
              <controlPr defaultSize="0" autoFill="0" autoLine="0" autoPict="0">
                <anchor moveWithCells="1">
                  <from>
                    <xdr:col>1</xdr:col>
                    <xdr:colOff>28575</xdr:colOff>
                    <xdr:row>112</xdr:row>
                    <xdr:rowOff>295275</xdr:rowOff>
                  </from>
                  <to>
                    <xdr:col>3</xdr:col>
                    <xdr:colOff>180975</xdr:colOff>
                    <xdr:row>114</xdr:row>
                    <xdr:rowOff>0</xdr:rowOff>
                  </to>
                </anchor>
              </controlPr>
            </control>
          </mc:Choice>
        </mc:AlternateContent>
        <mc:AlternateContent xmlns:mc="http://schemas.openxmlformats.org/markup-compatibility/2006">
          <mc:Choice Requires="x14">
            <control shapeId="8225" r:id="rId21" name="Check Box 33">
              <controlPr defaultSize="0" autoFill="0" autoLine="0" autoPict="0">
                <anchor moveWithCells="1">
                  <from>
                    <xdr:col>1</xdr:col>
                    <xdr:colOff>28575</xdr:colOff>
                    <xdr:row>117</xdr:row>
                    <xdr:rowOff>0</xdr:rowOff>
                  </from>
                  <to>
                    <xdr:col>3</xdr:col>
                    <xdr:colOff>171450</xdr:colOff>
                    <xdr:row>118</xdr:row>
                    <xdr:rowOff>28575</xdr:rowOff>
                  </to>
                </anchor>
              </controlPr>
            </control>
          </mc:Choice>
        </mc:AlternateContent>
        <mc:AlternateContent xmlns:mc="http://schemas.openxmlformats.org/markup-compatibility/2006">
          <mc:Choice Requires="x14">
            <control shapeId="8226" r:id="rId22" name="Check Box 34">
              <controlPr defaultSize="0" autoFill="0" autoLine="0" autoPict="0">
                <anchor moveWithCells="1">
                  <from>
                    <xdr:col>2</xdr:col>
                    <xdr:colOff>19050</xdr:colOff>
                    <xdr:row>117</xdr:row>
                    <xdr:rowOff>152400</xdr:rowOff>
                  </from>
                  <to>
                    <xdr:col>3</xdr:col>
                    <xdr:colOff>409575</xdr:colOff>
                    <xdr:row>119</xdr:row>
                    <xdr:rowOff>19050</xdr:rowOff>
                  </to>
                </anchor>
              </controlPr>
            </control>
          </mc:Choice>
        </mc:AlternateContent>
        <mc:AlternateContent xmlns:mc="http://schemas.openxmlformats.org/markup-compatibility/2006">
          <mc:Choice Requires="x14">
            <control shapeId="8229" r:id="rId23" name="Check Box 37">
              <controlPr defaultSize="0" autoFill="0" autoLine="0" autoPict="0">
                <anchor moveWithCells="1">
                  <from>
                    <xdr:col>1</xdr:col>
                    <xdr:colOff>9525</xdr:colOff>
                    <xdr:row>122</xdr:row>
                    <xdr:rowOff>304800</xdr:rowOff>
                  </from>
                  <to>
                    <xdr:col>3</xdr:col>
                    <xdr:colOff>161925</xdr:colOff>
                    <xdr:row>124</xdr:row>
                    <xdr:rowOff>9525</xdr:rowOff>
                  </to>
                </anchor>
              </controlPr>
            </control>
          </mc:Choice>
        </mc:AlternateContent>
        <mc:AlternateContent xmlns:mc="http://schemas.openxmlformats.org/markup-compatibility/2006">
          <mc:Choice Requires="x14">
            <control shapeId="8230" r:id="rId24" name="Check Box 38">
              <controlPr defaultSize="0" autoFill="0" autoLine="0" autoPict="0">
                <anchor moveWithCells="1">
                  <from>
                    <xdr:col>1</xdr:col>
                    <xdr:colOff>0</xdr:colOff>
                    <xdr:row>125</xdr:row>
                    <xdr:rowOff>123825</xdr:rowOff>
                  </from>
                  <to>
                    <xdr:col>3</xdr:col>
                    <xdr:colOff>142875</xdr:colOff>
                    <xdr:row>127</xdr:row>
                    <xdr:rowOff>47625</xdr:rowOff>
                  </to>
                </anchor>
              </controlPr>
            </control>
          </mc:Choice>
        </mc:AlternateContent>
        <mc:AlternateContent xmlns:mc="http://schemas.openxmlformats.org/markup-compatibility/2006">
          <mc:Choice Requires="x14">
            <control shapeId="8231" r:id="rId25" name="Check Box 39">
              <controlPr defaultSize="0" autoFill="0" autoLine="0" autoPict="0">
                <anchor moveWithCells="1">
                  <from>
                    <xdr:col>2</xdr:col>
                    <xdr:colOff>9525</xdr:colOff>
                    <xdr:row>126</xdr:row>
                    <xdr:rowOff>142875</xdr:rowOff>
                  </from>
                  <to>
                    <xdr:col>3</xdr:col>
                    <xdr:colOff>400050</xdr:colOff>
                    <xdr:row>128</xdr:row>
                    <xdr:rowOff>9525</xdr:rowOff>
                  </to>
                </anchor>
              </controlPr>
            </control>
          </mc:Choice>
        </mc:AlternateContent>
        <mc:AlternateContent xmlns:mc="http://schemas.openxmlformats.org/markup-compatibility/2006">
          <mc:Choice Requires="x14">
            <control shapeId="8232" r:id="rId26" name="Check Box 40">
              <controlPr defaultSize="0" autoFill="0" autoLine="0" autoPict="0">
                <anchor moveWithCells="1">
                  <from>
                    <xdr:col>1</xdr:col>
                    <xdr:colOff>9525</xdr:colOff>
                    <xdr:row>128</xdr:row>
                    <xdr:rowOff>133350</xdr:rowOff>
                  </from>
                  <to>
                    <xdr:col>3</xdr:col>
                    <xdr:colOff>152400</xdr:colOff>
                    <xdr:row>130</xdr:row>
                    <xdr:rowOff>9525</xdr:rowOff>
                  </to>
                </anchor>
              </controlPr>
            </control>
          </mc:Choice>
        </mc:AlternateContent>
        <mc:AlternateContent xmlns:mc="http://schemas.openxmlformats.org/markup-compatibility/2006">
          <mc:Choice Requires="x14">
            <control shapeId="8233" r:id="rId27" name="Check Box 41">
              <controlPr defaultSize="0" autoFill="0" autoLine="0" autoPict="0">
                <anchor moveWithCells="1">
                  <from>
                    <xdr:col>1</xdr:col>
                    <xdr:colOff>9525</xdr:colOff>
                    <xdr:row>130</xdr:row>
                    <xdr:rowOff>133350</xdr:rowOff>
                  </from>
                  <to>
                    <xdr:col>3</xdr:col>
                    <xdr:colOff>142875</xdr:colOff>
                    <xdr:row>132</xdr:row>
                    <xdr:rowOff>47625</xdr:rowOff>
                  </to>
                </anchor>
              </controlPr>
            </control>
          </mc:Choice>
        </mc:AlternateContent>
        <mc:AlternateContent xmlns:mc="http://schemas.openxmlformats.org/markup-compatibility/2006">
          <mc:Choice Requires="x14">
            <control shapeId="8234" r:id="rId28" name="Check Box 42">
              <controlPr defaultSize="0" autoFill="0" autoLine="0" autoPict="0">
                <anchor moveWithCells="1">
                  <from>
                    <xdr:col>1</xdr:col>
                    <xdr:colOff>9525</xdr:colOff>
                    <xdr:row>134</xdr:row>
                    <xdr:rowOff>0</xdr:rowOff>
                  </from>
                  <to>
                    <xdr:col>3</xdr:col>
                    <xdr:colOff>152400</xdr:colOff>
                    <xdr:row>135</xdr:row>
                    <xdr:rowOff>47625</xdr:rowOff>
                  </to>
                </anchor>
              </controlPr>
            </control>
          </mc:Choice>
        </mc:AlternateContent>
        <mc:AlternateContent xmlns:mc="http://schemas.openxmlformats.org/markup-compatibility/2006">
          <mc:Choice Requires="x14">
            <control shapeId="8235" r:id="rId29" name="Check Box 43">
              <controlPr defaultSize="0" autoFill="0" autoLine="0" autoPict="0">
                <anchor moveWithCells="1">
                  <from>
                    <xdr:col>1</xdr:col>
                    <xdr:colOff>19050</xdr:colOff>
                    <xdr:row>135</xdr:row>
                    <xdr:rowOff>133350</xdr:rowOff>
                  </from>
                  <to>
                    <xdr:col>3</xdr:col>
                    <xdr:colOff>161925</xdr:colOff>
                    <xdr:row>137</xdr:row>
                    <xdr:rowOff>47625</xdr:rowOff>
                  </to>
                </anchor>
              </controlPr>
            </control>
          </mc:Choice>
        </mc:AlternateContent>
        <mc:AlternateContent xmlns:mc="http://schemas.openxmlformats.org/markup-compatibility/2006">
          <mc:Choice Requires="x14">
            <control shapeId="8236" r:id="rId30" name="Check Box 44">
              <controlPr defaultSize="0" autoFill="0" autoLine="0" autoPict="0">
                <anchor moveWithCells="1">
                  <from>
                    <xdr:col>1</xdr:col>
                    <xdr:colOff>19050</xdr:colOff>
                    <xdr:row>114</xdr:row>
                    <xdr:rowOff>142875</xdr:rowOff>
                  </from>
                  <to>
                    <xdr:col>3</xdr:col>
                    <xdr:colOff>123825</xdr:colOff>
                    <xdr:row>116</xdr:row>
                    <xdr:rowOff>47625</xdr:rowOff>
                  </to>
                </anchor>
              </controlPr>
            </control>
          </mc:Choice>
        </mc:AlternateContent>
        <mc:AlternateContent xmlns:mc="http://schemas.openxmlformats.org/markup-compatibility/2006">
          <mc:Choice Requires="x14">
            <control shapeId="8237" r:id="rId31" name="Check Box 45">
              <controlPr defaultSize="0" autoFill="0" autoLine="0" autoPict="0">
                <anchor moveWithCells="1">
                  <from>
                    <xdr:col>12</xdr:col>
                    <xdr:colOff>38100</xdr:colOff>
                    <xdr:row>113</xdr:row>
                    <xdr:rowOff>0</xdr:rowOff>
                  </from>
                  <to>
                    <xdr:col>13</xdr:col>
                    <xdr:colOff>428625</xdr:colOff>
                    <xdr:row>114</xdr:row>
                    <xdr:rowOff>0</xdr:rowOff>
                  </to>
                </anchor>
              </controlPr>
            </control>
          </mc:Choice>
        </mc:AlternateContent>
        <mc:AlternateContent xmlns:mc="http://schemas.openxmlformats.org/markup-compatibility/2006">
          <mc:Choice Requires="x14">
            <control shapeId="8238" r:id="rId32" name="Check Box 46">
              <controlPr defaultSize="0" autoFill="0" autoLine="0" autoPict="0">
                <anchor moveWithCells="1">
                  <from>
                    <xdr:col>12</xdr:col>
                    <xdr:colOff>47625</xdr:colOff>
                    <xdr:row>115</xdr:row>
                    <xdr:rowOff>0</xdr:rowOff>
                  </from>
                  <to>
                    <xdr:col>13</xdr:col>
                    <xdr:colOff>438150</xdr:colOff>
                    <xdr:row>116</xdr:row>
                    <xdr:rowOff>47625</xdr:rowOff>
                  </to>
                </anchor>
              </controlPr>
            </control>
          </mc:Choice>
        </mc:AlternateContent>
        <mc:AlternateContent xmlns:mc="http://schemas.openxmlformats.org/markup-compatibility/2006">
          <mc:Choice Requires="x14">
            <control shapeId="8239" r:id="rId33" name="Check Box 47">
              <controlPr defaultSize="0" autoFill="0" autoLine="0" autoPict="0">
                <anchor moveWithCells="1">
                  <from>
                    <xdr:col>12</xdr:col>
                    <xdr:colOff>47625</xdr:colOff>
                    <xdr:row>117</xdr:row>
                    <xdr:rowOff>133350</xdr:rowOff>
                  </from>
                  <to>
                    <xdr:col>13</xdr:col>
                    <xdr:colOff>438150</xdr:colOff>
                    <xdr:row>119</xdr:row>
                    <xdr:rowOff>19050</xdr:rowOff>
                  </to>
                </anchor>
              </controlPr>
            </control>
          </mc:Choice>
        </mc:AlternateContent>
        <mc:AlternateContent xmlns:mc="http://schemas.openxmlformats.org/markup-compatibility/2006">
          <mc:Choice Requires="x14">
            <control shapeId="8240" r:id="rId34" name="Check Box 48">
              <controlPr defaultSize="0" autoFill="0" autoLine="0" autoPict="0">
                <anchor moveWithCells="1">
                  <from>
                    <xdr:col>12</xdr:col>
                    <xdr:colOff>28575</xdr:colOff>
                    <xdr:row>122</xdr:row>
                    <xdr:rowOff>142875</xdr:rowOff>
                  </from>
                  <to>
                    <xdr:col>13</xdr:col>
                    <xdr:colOff>419100</xdr:colOff>
                    <xdr:row>123</xdr:row>
                    <xdr:rowOff>28575</xdr:rowOff>
                  </to>
                </anchor>
              </controlPr>
            </control>
          </mc:Choice>
        </mc:AlternateContent>
        <mc:AlternateContent xmlns:mc="http://schemas.openxmlformats.org/markup-compatibility/2006">
          <mc:Choice Requires="x14">
            <control shapeId="8241" r:id="rId35" name="Check Box 49">
              <controlPr defaultSize="0" autoFill="0" autoLine="0" autoPict="0">
                <anchor moveWithCells="1">
                  <from>
                    <xdr:col>12</xdr:col>
                    <xdr:colOff>38100</xdr:colOff>
                    <xdr:row>123</xdr:row>
                    <xdr:rowOff>152400</xdr:rowOff>
                  </from>
                  <to>
                    <xdr:col>13</xdr:col>
                    <xdr:colOff>428625</xdr:colOff>
                    <xdr:row>125</xdr:row>
                    <xdr:rowOff>38100</xdr:rowOff>
                  </to>
                </anchor>
              </controlPr>
            </control>
          </mc:Choice>
        </mc:AlternateContent>
        <mc:AlternateContent xmlns:mc="http://schemas.openxmlformats.org/markup-compatibility/2006">
          <mc:Choice Requires="x14">
            <control shapeId="8242" r:id="rId36" name="Check Box 50">
              <controlPr defaultSize="0" autoFill="0" autoLine="0" autoPict="0">
                <anchor moveWithCells="1">
                  <from>
                    <xdr:col>1</xdr:col>
                    <xdr:colOff>19050</xdr:colOff>
                    <xdr:row>139</xdr:row>
                    <xdr:rowOff>276225</xdr:rowOff>
                  </from>
                  <to>
                    <xdr:col>3</xdr:col>
                    <xdr:colOff>123825</xdr:colOff>
                    <xdr:row>141</xdr:row>
                    <xdr:rowOff>28575</xdr:rowOff>
                  </to>
                </anchor>
              </controlPr>
            </control>
          </mc:Choice>
        </mc:AlternateContent>
        <mc:AlternateContent xmlns:mc="http://schemas.openxmlformats.org/markup-compatibility/2006">
          <mc:Choice Requires="x14">
            <control shapeId="8244" r:id="rId37" name="Check Box 52">
              <controlPr defaultSize="0" autoFill="0" autoLine="0" autoPict="0">
                <anchor moveWithCells="1">
                  <from>
                    <xdr:col>1</xdr:col>
                    <xdr:colOff>28575</xdr:colOff>
                    <xdr:row>142</xdr:row>
                    <xdr:rowOff>0</xdr:rowOff>
                  </from>
                  <to>
                    <xdr:col>3</xdr:col>
                    <xdr:colOff>142875</xdr:colOff>
                    <xdr:row>143</xdr:row>
                    <xdr:rowOff>47625</xdr:rowOff>
                  </to>
                </anchor>
              </controlPr>
            </control>
          </mc:Choice>
        </mc:AlternateContent>
        <mc:AlternateContent xmlns:mc="http://schemas.openxmlformats.org/markup-compatibility/2006">
          <mc:Choice Requires="x14">
            <control shapeId="8245" r:id="rId38" name="Check Box 53">
              <controlPr defaultSize="0" autoFill="0" autoLine="0" autoPict="0">
                <anchor moveWithCells="1">
                  <from>
                    <xdr:col>1</xdr:col>
                    <xdr:colOff>9525</xdr:colOff>
                    <xdr:row>146</xdr:row>
                    <xdr:rowOff>314325</xdr:rowOff>
                  </from>
                  <to>
                    <xdr:col>3</xdr:col>
                    <xdr:colOff>123825</xdr:colOff>
                    <xdr:row>148</xdr:row>
                    <xdr:rowOff>28575</xdr:rowOff>
                  </to>
                </anchor>
              </controlPr>
            </control>
          </mc:Choice>
        </mc:AlternateContent>
        <mc:AlternateContent xmlns:mc="http://schemas.openxmlformats.org/markup-compatibility/2006">
          <mc:Choice Requires="x14">
            <control shapeId="8246" r:id="rId39" name="Check Box 54">
              <controlPr defaultSize="0" autoFill="0" autoLine="0" autoPict="0">
                <anchor moveWithCells="1">
                  <from>
                    <xdr:col>1</xdr:col>
                    <xdr:colOff>28575</xdr:colOff>
                    <xdr:row>149</xdr:row>
                    <xdr:rowOff>142875</xdr:rowOff>
                  </from>
                  <to>
                    <xdr:col>3</xdr:col>
                    <xdr:colOff>142875</xdr:colOff>
                    <xdr:row>151</xdr:row>
                    <xdr:rowOff>47625</xdr:rowOff>
                  </to>
                </anchor>
              </controlPr>
            </control>
          </mc:Choice>
        </mc:AlternateContent>
        <mc:AlternateContent xmlns:mc="http://schemas.openxmlformats.org/markup-compatibility/2006">
          <mc:Choice Requires="x14">
            <control shapeId="8247" r:id="rId40" name="Check Box 55">
              <controlPr defaultSize="0" autoFill="0" autoLine="0" autoPict="0">
                <anchor moveWithCells="1">
                  <from>
                    <xdr:col>2</xdr:col>
                    <xdr:colOff>28575</xdr:colOff>
                    <xdr:row>150</xdr:row>
                    <xdr:rowOff>142875</xdr:rowOff>
                  </from>
                  <to>
                    <xdr:col>3</xdr:col>
                    <xdr:colOff>400050</xdr:colOff>
                    <xdr:row>152</xdr:row>
                    <xdr:rowOff>38100</xdr:rowOff>
                  </to>
                </anchor>
              </controlPr>
            </control>
          </mc:Choice>
        </mc:AlternateContent>
        <mc:AlternateContent xmlns:mc="http://schemas.openxmlformats.org/markup-compatibility/2006">
          <mc:Choice Requires="x14">
            <control shapeId="8248" r:id="rId41" name="Check Box 56">
              <controlPr defaultSize="0" autoFill="0" autoLine="0" autoPict="0">
                <anchor moveWithCells="1">
                  <from>
                    <xdr:col>2</xdr:col>
                    <xdr:colOff>28575</xdr:colOff>
                    <xdr:row>152</xdr:row>
                    <xdr:rowOff>133350</xdr:rowOff>
                  </from>
                  <to>
                    <xdr:col>3</xdr:col>
                    <xdr:colOff>409575</xdr:colOff>
                    <xdr:row>154</xdr:row>
                    <xdr:rowOff>28575</xdr:rowOff>
                  </to>
                </anchor>
              </controlPr>
            </control>
          </mc:Choice>
        </mc:AlternateContent>
        <mc:AlternateContent xmlns:mc="http://schemas.openxmlformats.org/markup-compatibility/2006">
          <mc:Choice Requires="x14">
            <control shapeId="8249" r:id="rId42" name="Check Box 57">
              <controlPr defaultSize="0" autoFill="0" autoLine="0" autoPict="0">
                <anchor moveWithCells="1">
                  <from>
                    <xdr:col>12</xdr:col>
                    <xdr:colOff>28575</xdr:colOff>
                    <xdr:row>139</xdr:row>
                    <xdr:rowOff>276225</xdr:rowOff>
                  </from>
                  <to>
                    <xdr:col>13</xdr:col>
                    <xdr:colOff>438150</xdr:colOff>
                    <xdr:row>141</xdr:row>
                    <xdr:rowOff>38100</xdr:rowOff>
                  </to>
                </anchor>
              </controlPr>
            </control>
          </mc:Choice>
        </mc:AlternateContent>
        <mc:AlternateContent xmlns:mc="http://schemas.openxmlformats.org/markup-compatibility/2006">
          <mc:Choice Requires="x14">
            <control shapeId="8250" r:id="rId43" name="Check Box 58">
              <controlPr defaultSize="0" autoFill="0" autoLine="0" autoPict="0">
                <anchor moveWithCells="1">
                  <from>
                    <xdr:col>0</xdr:col>
                    <xdr:colOff>238125</xdr:colOff>
                    <xdr:row>32</xdr:row>
                    <xdr:rowOff>133350</xdr:rowOff>
                  </from>
                  <to>
                    <xdr:col>3</xdr:col>
                    <xdr:colOff>190500</xdr:colOff>
                    <xdr:row>34</xdr:row>
                    <xdr:rowOff>19050</xdr:rowOff>
                  </to>
                </anchor>
              </controlPr>
            </control>
          </mc:Choice>
        </mc:AlternateContent>
        <mc:AlternateContent xmlns:mc="http://schemas.openxmlformats.org/markup-compatibility/2006">
          <mc:Choice Requires="x14">
            <control shapeId="8251" r:id="rId44" name="Check Box 59">
              <controlPr defaultSize="0" autoFill="0" autoLine="0" autoPict="0">
                <anchor moveWithCells="1">
                  <from>
                    <xdr:col>1</xdr:col>
                    <xdr:colOff>0</xdr:colOff>
                    <xdr:row>35</xdr:row>
                    <xdr:rowOff>47625</xdr:rowOff>
                  </from>
                  <to>
                    <xdr:col>3</xdr:col>
                    <xdr:colOff>200025</xdr:colOff>
                    <xdr:row>37</xdr:row>
                    <xdr:rowOff>19050</xdr:rowOff>
                  </to>
                </anchor>
              </controlPr>
            </control>
          </mc:Choice>
        </mc:AlternateContent>
        <mc:AlternateContent xmlns:mc="http://schemas.openxmlformats.org/markup-compatibility/2006">
          <mc:Choice Requires="x14">
            <control shapeId="8252" r:id="rId45" name="Check Box 60">
              <controlPr defaultSize="0" autoFill="0" autoLine="0" autoPict="0">
                <anchor moveWithCells="1">
                  <from>
                    <xdr:col>1</xdr:col>
                    <xdr:colOff>9525</xdr:colOff>
                    <xdr:row>42</xdr:row>
                    <xdr:rowOff>57150</xdr:rowOff>
                  </from>
                  <to>
                    <xdr:col>3</xdr:col>
                    <xdr:colOff>209550</xdr:colOff>
                    <xdr:row>44</xdr:row>
                    <xdr:rowOff>28575</xdr:rowOff>
                  </to>
                </anchor>
              </controlPr>
            </control>
          </mc:Choice>
        </mc:AlternateContent>
        <mc:AlternateContent xmlns:mc="http://schemas.openxmlformats.org/markup-compatibility/2006">
          <mc:Choice Requires="x14">
            <control shapeId="8253" r:id="rId46" name="Check Box 61">
              <controlPr defaultSize="0" autoFill="0" autoLine="0" autoPict="0">
                <anchor moveWithCells="1">
                  <from>
                    <xdr:col>1</xdr:col>
                    <xdr:colOff>0</xdr:colOff>
                    <xdr:row>48</xdr:row>
                    <xdr:rowOff>142875</xdr:rowOff>
                  </from>
                  <to>
                    <xdr:col>3</xdr:col>
                    <xdr:colOff>200025</xdr:colOff>
                    <xdr:row>50</xdr:row>
                    <xdr:rowOff>28575</xdr:rowOff>
                  </to>
                </anchor>
              </controlPr>
            </control>
          </mc:Choice>
        </mc:AlternateContent>
        <mc:AlternateContent xmlns:mc="http://schemas.openxmlformats.org/markup-compatibility/2006">
          <mc:Choice Requires="x14">
            <control shapeId="8255" r:id="rId47" name="Check Box 63">
              <controlPr defaultSize="0" autoFill="0" autoLine="0" autoPict="0">
                <anchor moveWithCells="1">
                  <from>
                    <xdr:col>1</xdr:col>
                    <xdr:colOff>28575</xdr:colOff>
                    <xdr:row>53</xdr:row>
                    <xdr:rowOff>0</xdr:rowOff>
                  </from>
                  <to>
                    <xdr:col>3</xdr:col>
                    <xdr:colOff>228600</xdr:colOff>
                    <xdr:row>54</xdr:row>
                    <xdr:rowOff>19050</xdr:rowOff>
                  </to>
                </anchor>
              </controlPr>
            </control>
          </mc:Choice>
        </mc:AlternateContent>
        <mc:AlternateContent xmlns:mc="http://schemas.openxmlformats.org/markup-compatibility/2006">
          <mc:Choice Requires="x14">
            <control shapeId="8257" r:id="rId48" name="Check Box 65">
              <controlPr defaultSize="0" autoFill="0" autoLine="0" autoPict="0">
                <anchor moveWithCells="1">
                  <from>
                    <xdr:col>1</xdr:col>
                    <xdr:colOff>28575</xdr:colOff>
                    <xdr:row>57</xdr:row>
                    <xdr:rowOff>171450</xdr:rowOff>
                  </from>
                  <to>
                    <xdr:col>3</xdr:col>
                    <xdr:colOff>228600</xdr:colOff>
                    <xdr:row>59</xdr:row>
                    <xdr:rowOff>28575</xdr:rowOff>
                  </to>
                </anchor>
              </controlPr>
            </control>
          </mc:Choice>
        </mc:AlternateContent>
        <mc:AlternateContent xmlns:mc="http://schemas.openxmlformats.org/markup-compatibility/2006">
          <mc:Choice Requires="x14">
            <control shapeId="8258" r:id="rId49" name="Check Box 66">
              <controlPr defaultSize="0" autoFill="0" autoLine="0" autoPict="0">
                <anchor moveWithCells="1">
                  <from>
                    <xdr:col>1</xdr:col>
                    <xdr:colOff>47625</xdr:colOff>
                    <xdr:row>60</xdr:row>
                    <xdr:rowOff>66675</xdr:rowOff>
                  </from>
                  <to>
                    <xdr:col>3</xdr:col>
                    <xdr:colOff>247650</xdr:colOff>
                    <xdr:row>62</xdr:row>
                    <xdr:rowOff>38100</xdr:rowOff>
                  </to>
                </anchor>
              </controlPr>
            </control>
          </mc:Choice>
        </mc:AlternateContent>
        <mc:AlternateContent xmlns:mc="http://schemas.openxmlformats.org/markup-compatibility/2006">
          <mc:Choice Requires="x14">
            <control shapeId="8261" r:id="rId50" name="Check Box 69">
              <controlPr defaultSize="0" autoFill="0" autoLine="0" autoPict="0">
                <anchor moveWithCells="1">
                  <from>
                    <xdr:col>12</xdr:col>
                    <xdr:colOff>47625</xdr:colOff>
                    <xdr:row>32</xdr:row>
                    <xdr:rowOff>152400</xdr:rowOff>
                  </from>
                  <to>
                    <xdr:col>13</xdr:col>
                    <xdr:colOff>466725</xdr:colOff>
                    <xdr:row>34</xdr:row>
                    <xdr:rowOff>19050</xdr:rowOff>
                  </to>
                </anchor>
              </controlPr>
            </control>
          </mc:Choice>
        </mc:AlternateContent>
        <mc:AlternateContent xmlns:mc="http://schemas.openxmlformats.org/markup-compatibility/2006">
          <mc:Choice Requires="x14">
            <control shapeId="8263" r:id="rId51" name="Check Box 71">
              <controlPr defaultSize="0" autoFill="0" autoLine="0" autoPict="0">
                <anchor moveWithCells="1">
                  <from>
                    <xdr:col>12</xdr:col>
                    <xdr:colOff>47625</xdr:colOff>
                    <xdr:row>35</xdr:row>
                    <xdr:rowOff>57150</xdr:rowOff>
                  </from>
                  <to>
                    <xdr:col>13</xdr:col>
                    <xdr:colOff>466725</xdr:colOff>
                    <xdr:row>37</xdr:row>
                    <xdr:rowOff>9525</xdr:rowOff>
                  </to>
                </anchor>
              </controlPr>
            </control>
          </mc:Choice>
        </mc:AlternateContent>
        <mc:AlternateContent xmlns:mc="http://schemas.openxmlformats.org/markup-compatibility/2006">
          <mc:Choice Requires="x14">
            <control shapeId="8266" r:id="rId52" name="Check Box 74">
              <controlPr defaultSize="0" autoFill="0" autoLine="0" autoPict="0">
                <anchor moveWithCells="1">
                  <from>
                    <xdr:col>1</xdr:col>
                    <xdr:colOff>38100</xdr:colOff>
                    <xdr:row>63</xdr:row>
                    <xdr:rowOff>161925</xdr:rowOff>
                  </from>
                  <to>
                    <xdr:col>3</xdr:col>
                    <xdr:colOff>238125</xdr:colOff>
                    <xdr:row>65</xdr:row>
                    <xdr:rowOff>19050</xdr:rowOff>
                  </to>
                </anchor>
              </controlPr>
            </control>
          </mc:Choice>
        </mc:AlternateContent>
        <mc:AlternateContent xmlns:mc="http://schemas.openxmlformats.org/markup-compatibility/2006">
          <mc:Choice Requires="x14">
            <control shapeId="8267" r:id="rId53" name="Check Box 75">
              <controlPr defaultSize="0" autoFill="0" autoLine="0" autoPict="0">
                <anchor moveWithCells="1">
                  <from>
                    <xdr:col>1</xdr:col>
                    <xdr:colOff>47625</xdr:colOff>
                    <xdr:row>66</xdr:row>
                    <xdr:rowOff>123825</xdr:rowOff>
                  </from>
                  <to>
                    <xdr:col>3</xdr:col>
                    <xdr:colOff>247650</xdr:colOff>
                    <xdr:row>68</xdr:row>
                    <xdr:rowOff>47625</xdr:rowOff>
                  </to>
                </anchor>
              </controlPr>
            </control>
          </mc:Choice>
        </mc:AlternateContent>
        <mc:AlternateContent xmlns:mc="http://schemas.openxmlformats.org/markup-compatibility/2006">
          <mc:Choice Requires="x14">
            <control shapeId="8268" r:id="rId54" name="Check Box 76">
              <controlPr defaultSize="0" autoFill="0" autoLine="0" autoPict="0">
                <anchor moveWithCells="1">
                  <from>
                    <xdr:col>1</xdr:col>
                    <xdr:colOff>38100</xdr:colOff>
                    <xdr:row>69</xdr:row>
                    <xdr:rowOff>161925</xdr:rowOff>
                  </from>
                  <to>
                    <xdr:col>3</xdr:col>
                    <xdr:colOff>238125</xdr:colOff>
                    <xdr:row>71</xdr:row>
                    <xdr:rowOff>19050</xdr:rowOff>
                  </to>
                </anchor>
              </controlPr>
            </control>
          </mc:Choice>
        </mc:AlternateContent>
        <mc:AlternateContent xmlns:mc="http://schemas.openxmlformats.org/markup-compatibility/2006">
          <mc:Choice Requires="x14">
            <control shapeId="8272" r:id="rId55" name="Check Box 80">
              <controlPr defaultSize="0" autoFill="0" autoLine="0" autoPict="0">
                <anchor moveWithCells="1">
                  <from>
                    <xdr:col>1</xdr:col>
                    <xdr:colOff>28575</xdr:colOff>
                    <xdr:row>72</xdr:row>
                    <xdr:rowOff>0</xdr:rowOff>
                  </from>
                  <to>
                    <xdr:col>3</xdr:col>
                    <xdr:colOff>228600</xdr:colOff>
                    <xdr:row>73</xdr:row>
                    <xdr:rowOff>47625</xdr:rowOff>
                  </to>
                </anchor>
              </controlPr>
            </control>
          </mc:Choice>
        </mc:AlternateContent>
        <mc:AlternateContent xmlns:mc="http://schemas.openxmlformats.org/markup-compatibility/2006">
          <mc:Choice Requires="x14">
            <control shapeId="8273" r:id="rId56" name="Check Box 81">
              <controlPr defaultSize="0" autoFill="0" autoLine="0" autoPict="0">
                <anchor moveWithCells="1">
                  <from>
                    <xdr:col>1</xdr:col>
                    <xdr:colOff>19050</xdr:colOff>
                    <xdr:row>75</xdr:row>
                    <xdr:rowOff>180975</xdr:rowOff>
                  </from>
                  <to>
                    <xdr:col>3</xdr:col>
                    <xdr:colOff>219075</xdr:colOff>
                    <xdr:row>77</xdr:row>
                    <xdr:rowOff>38100</xdr:rowOff>
                  </to>
                </anchor>
              </controlPr>
            </control>
          </mc:Choice>
        </mc:AlternateContent>
        <mc:AlternateContent xmlns:mc="http://schemas.openxmlformats.org/markup-compatibility/2006">
          <mc:Choice Requires="x14">
            <control shapeId="8275" r:id="rId57" name="Check Box 83">
              <controlPr defaultSize="0" autoFill="0" autoLine="0" autoPict="0">
                <anchor moveWithCells="1">
                  <from>
                    <xdr:col>1</xdr:col>
                    <xdr:colOff>19050</xdr:colOff>
                    <xdr:row>78</xdr:row>
                    <xdr:rowOff>0</xdr:rowOff>
                  </from>
                  <to>
                    <xdr:col>3</xdr:col>
                    <xdr:colOff>219075</xdr:colOff>
                    <xdr:row>79</xdr:row>
                    <xdr:rowOff>47625</xdr:rowOff>
                  </to>
                </anchor>
              </controlPr>
            </control>
          </mc:Choice>
        </mc:AlternateContent>
        <mc:AlternateContent xmlns:mc="http://schemas.openxmlformats.org/markup-compatibility/2006">
          <mc:Choice Requires="x14">
            <control shapeId="8276" r:id="rId58" name="Check Box 84">
              <controlPr defaultSize="0" autoFill="0" autoLine="0" autoPict="0">
                <anchor moveWithCells="1">
                  <from>
                    <xdr:col>1</xdr:col>
                    <xdr:colOff>19050</xdr:colOff>
                    <xdr:row>80</xdr:row>
                    <xdr:rowOff>142875</xdr:rowOff>
                  </from>
                  <to>
                    <xdr:col>3</xdr:col>
                    <xdr:colOff>219075</xdr:colOff>
                    <xdr:row>82</xdr:row>
                    <xdr:rowOff>47625</xdr:rowOff>
                  </to>
                </anchor>
              </controlPr>
            </control>
          </mc:Choice>
        </mc:AlternateContent>
        <mc:AlternateContent xmlns:mc="http://schemas.openxmlformats.org/markup-compatibility/2006">
          <mc:Choice Requires="x14">
            <control shapeId="8279" r:id="rId59" name="Check Box 87">
              <controlPr defaultSize="0" autoFill="0" autoLine="0" autoPict="0">
                <anchor moveWithCells="1">
                  <from>
                    <xdr:col>1</xdr:col>
                    <xdr:colOff>19050</xdr:colOff>
                    <xdr:row>88</xdr:row>
                    <xdr:rowOff>171450</xdr:rowOff>
                  </from>
                  <to>
                    <xdr:col>3</xdr:col>
                    <xdr:colOff>219075</xdr:colOff>
                    <xdr:row>90</xdr:row>
                    <xdr:rowOff>38100</xdr:rowOff>
                  </to>
                </anchor>
              </controlPr>
            </control>
          </mc:Choice>
        </mc:AlternateContent>
        <mc:AlternateContent xmlns:mc="http://schemas.openxmlformats.org/markup-compatibility/2006">
          <mc:Choice Requires="x14">
            <control shapeId="8280" r:id="rId60" name="Check Box 88">
              <controlPr defaultSize="0" autoFill="0" autoLine="0" autoPict="0">
                <anchor moveWithCells="1">
                  <from>
                    <xdr:col>1</xdr:col>
                    <xdr:colOff>19050</xdr:colOff>
                    <xdr:row>90</xdr:row>
                    <xdr:rowOff>142875</xdr:rowOff>
                  </from>
                  <to>
                    <xdr:col>3</xdr:col>
                    <xdr:colOff>219075</xdr:colOff>
                    <xdr:row>92</xdr:row>
                    <xdr:rowOff>57150</xdr:rowOff>
                  </to>
                </anchor>
              </controlPr>
            </control>
          </mc:Choice>
        </mc:AlternateContent>
        <mc:AlternateContent xmlns:mc="http://schemas.openxmlformats.org/markup-compatibility/2006">
          <mc:Choice Requires="x14">
            <control shapeId="8281" r:id="rId61" name="Check Box 89">
              <controlPr defaultSize="0" autoFill="0" autoLine="0" autoPict="0">
                <anchor moveWithCells="1">
                  <from>
                    <xdr:col>1</xdr:col>
                    <xdr:colOff>9525</xdr:colOff>
                    <xdr:row>93</xdr:row>
                    <xdr:rowOff>142875</xdr:rowOff>
                  </from>
                  <to>
                    <xdr:col>3</xdr:col>
                    <xdr:colOff>209550</xdr:colOff>
                    <xdr:row>95</xdr:row>
                    <xdr:rowOff>47625</xdr:rowOff>
                  </to>
                </anchor>
              </controlPr>
            </control>
          </mc:Choice>
        </mc:AlternateContent>
        <mc:AlternateContent xmlns:mc="http://schemas.openxmlformats.org/markup-compatibility/2006">
          <mc:Choice Requires="x14">
            <control shapeId="8282" r:id="rId62" name="Check Box 90">
              <controlPr defaultSize="0" autoFill="0" autoLine="0" autoPict="0">
                <anchor moveWithCells="1">
                  <from>
                    <xdr:col>1</xdr:col>
                    <xdr:colOff>19050</xdr:colOff>
                    <xdr:row>98</xdr:row>
                    <xdr:rowOff>123825</xdr:rowOff>
                  </from>
                  <to>
                    <xdr:col>3</xdr:col>
                    <xdr:colOff>219075</xdr:colOff>
                    <xdr:row>100</xdr:row>
                    <xdr:rowOff>47625</xdr:rowOff>
                  </to>
                </anchor>
              </controlPr>
            </control>
          </mc:Choice>
        </mc:AlternateContent>
        <mc:AlternateContent xmlns:mc="http://schemas.openxmlformats.org/markup-compatibility/2006">
          <mc:Choice Requires="x14">
            <control shapeId="8292" r:id="rId63" name="Check Box 100">
              <controlPr defaultSize="0" autoFill="0" autoLine="0" autoPict="0">
                <anchor moveWithCells="1">
                  <from>
                    <xdr:col>12</xdr:col>
                    <xdr:colOff>9525</xdr:colOff>
                    <xdr:row>146</xdr:row>
                    <xdr:rowOff>323850</xdr:rowOff>
                  </from>
                  <to>
                    <xdr:col>13</xdr:col>
                    <xdr:colOff>419100</xdr:colOff>
                    <xdr:row>148</xdr:row>
                    <xdr:rowOff>28575</xdr:rowOff>
                  </to>
                </anchor>
              </controlPr>
            </control>
          </mc:Choice>
        </mc:AlternateContent>
        <mc:AlternateContent xmlns:mc="http://schemas.openxmlformats.org/markup-compatibility/2006">
          <mc:Choice Requires="x14">
            <control shapeId="8293" r:id="rId64" name="Check Box 101">
              <controlPr defaultSize="0" autoFill="0" autoLine="0" autoPict="0">
                <anchor moveWithCells="1">
                  <from>
                    <xdr:col>1</xdr:col>
                    <xdr:colOff>9525</xdr:colOff>
                    <xdr:row>157</xdr:row>
                    <xdr:rowOff>314325</xdr:rowOff>
                  </from>
                  <to>
                    <xdr:col>3</xdr:col>
                    <xdr:colOff>123825</xdr:colOff>
                    <xdr:row>159</xdr:row>
                    <xdr:rowOff>28575</xdr:rowOff>
                  </to>
                </anchor>
              </controlPr>
            </control>
          </mc:Choice>
        </mc:AlternateContent>
        <mc:AlternateContent xmlns:mc="http://schemas.openxmlformats.org/markup-compatibility/2006">
          <mc:Choice Requires="x14">
            <control shapeId="8297" r:id="rId65" name="Check Box 105">
              <controlPr defaultSize="0" autoFill="0" autoLine="0" autoPict="0">
                <anchor moveWithCells="1">
                  <from>
                    <xdr:col>12</xdr:col>
                    <xdr:colOff>9525</xdr:colOff>
                    <xdr:row>157</xdr:row>
                    <xdr:rowOff>323850</xdr:rowOff>
                  </from>
                  <to>
                    <xdr:col>13</xdr:col>
                    <xdr:colOff>419100</xdr:colOff>
                    <xdr:row>159</xdr:row>
                    <xdr:rowOff>28575</xdr:rowOff>
                  </to>
                </anchor>
              </controlPr>
            </control>
          </mc:Choice>
        </mc:AlternateContent>
        <mc:AlternateContent xmlns:mc="http://schemas.openxmlformats.org/markup-compatibility/2006">
          <mc:Choice Requires="x14">
            <control shapeId="8301" r:id="rId66" name="Check Box 109">
              <controlPr defaultSize="0" autoFill="0" autoLine="0" autoPict="0">
                <anchor moveWithCells="1">
                  <from>
                    <xdr:col>1</xdr:col>
                    <xdr:colOff>9525</xdr:colOff>
                    <xdr:row>162</xdr:row>
                    <xdr:rowOff>314325</xdr:rowOff>
                  </from>
                  <to>
                    <xdr:col>3</xdr:col>
                    <xdr:colOff>123825</xdr:colOff>
                    <xdr:row>164</xdr:row>
                    <xdr:rowOff>28575</xdr:rowOff>
                  </to>
                </anchor>
              </controlPr>
            </control>
          </mc:Choice>
        </mc:AlternateContent>
        <mc:AlternateContent xmlns:mc="http://schemas.openxmlformats.org/markup-compatibility/2006">
          <mc:Choice Requires="x14">
            <control shapeId="8302" r:id="rId67" name="Check Box 110">
              <controlPr defaultSize="0" autoFill="0" autoLine="0" autoPict="0">
                <anchor moveWithCells="1">
                  <from>
                    <xdr:col>1</xdr:col>
                    <xdr:colOff>28575</xdr:colOff>
                    <xdr:row>165</xdr:row>
                    <xdr:rowOff>142875</xdr:rowOff>
                  </from>
                  <to>
                    <xdr:col>3</xdr:col>
                    <xdr:colOff>142875</xdr:colOff>
                    <xdr:row>167</xdr:row>
                    <xdr:rowOff>47625</xdr:rowOff>
                  </to>
                </anchor>
              </controlPr>
            </control>
          </mc:Choice>
        </mc:AlternateContent>
        <mc:AlternateContent xmlns:mc="http://schemas.openxmlformats.org/markup-compatibility/2006">
          <mc:Choice Requires="x14">
            <control shapeId="8303" r:id="rId68" name="Check Box 111">
              <controlPr defaultSize="0" autoFill="0" autoLine="0" autoPict="0">
                <anchor moveWithCells="1">
                  <from>
                    <xdr:col>12</xdr:col>
                    <xdr:colOff>9525</xdr:colOff>
                    <xdr:row>162</xdr:row>
                    <xdr:rowOff>323850</xdr:rowOff>
                  </from>
                  <to>
                    <xdr:col>13</xdr:col>
                    <xdr:colOff>419100</xdr:colOff>
                    <xdr:row>164</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2:M245"/>
  <sheetViews>
    <sheetView zoomScale="90" zoomScaleNormal="90" workbookViewId="0">
      <selection activeCell="K158" sqref="K158"/>
    </sheetView>
  </sheetViews>
  <sheetFormatPr defaultColWidth="11.42578125" defaultRowHeight="12.75"/>
  <cols>
    <col min="1" max="1" width="12.5703125" style="1" customWidth="1"/>
    <col min="2" max="2" width="25.7109375" style="1" customWidth="1"/>
    <col min="3" max="3" width="57.28515625" style="1" customWidth="1"/>
    <col min="4" max="12" width="9.5703125" style="1" customWidth="1"/>
    <col min="13" max="16384" width="11.42578125" style="1"/>
  </cols>
  <sheetData>
    <row r="2" spans="1:13" ht="20.25">
      <c r="A2" s="134" t="s">
        <v>461</v>
      </c>
      <c r="B2" s="146"/>
    </row>
    <row r="3" spans="1:13" ht="13.5" thickBot="1"/>
    <row r="4" spans="1:13" ht="17.25" thickTop="1" thickBot="1">
      <c r="A4" s="422"/>
      <c r="B4" s="422"/>
      <c r="C4" s="423"/>
      <c r="D4" s="424" t="s">
        <v>33</v>
      </c>
      <c r="E4" s="425"/>
      <c r="F4" s="426"/>
      <c r="G4" s="424" t="s">
        <v>34</v>
      </c>
      <c r="H4" s="425"/>
      <c r="I4" s="426"/>
      <c r="J4" s="427" t="s">
        <v>35</v>
      </c>
      <c r="K4" s="428"/>
      <c r="L4" s="429"/>
    </row>
    <row r="5" spans="1:13" ht="14.25" customHeight="1" thickTop="1">
      <c r="A5" s="147"/>
      <c r="B5" s="148"/>
      <c r="C5" s="148"/>
      <c r="D5" s="432" t="s">
        <v>38</v>
      </c>
      <c r="E5" s="434" t="s">
        <v>39</v>
      </c>
      <c r="F5" s="436" t="s">
        <v>295</v>
      </c>
      <c r="G5" s="432" t="s">
        <v>40</v>
      </c>
      <c r="H5" s="434" t="s">
        <v>41</v>
      </c>
      <c r="I5" s="441" t="s">
        <v>296</v>
      </c>
      <c r="J5" s="438" t="s">
        <v>42</v>
      </c>
      <c r="K5" s="440" t="s">
        <v>219</v>
      </c>
      <c r="L5" s="430" t="s">
        <v>297</v>
      </c>
    </row>
    <row r="6" spans="1:13" ht="15.75">
      <c r="A6" s="147"/>
      <c r="B6" s="148"/>
      <c r="C6" s="148"/>
      <c r="D6" s="433"/>
      <c r="E6" s="435"/>
      <c r="F6" s="437"/>
      <c r="G6" s="433"/>
      <c r="H6" s="435"/>
      <c r="I6" s="442"/>
      <c r="J6" s="439"/>
      <c r="K6" s="435"/>
      <c r="L6" s="431"/>
    </row>
    <row r="7" spans="1:13" ht="33" customHeight="1" thickBot="1">
      <c r="A7" s="147" t="s">
        <v>36</v>
      </c>
      <c r="B7" s="148"/>
      <c r="C7" s="148" t="s">
        <v>37</v>
      </c>
      <c r="D7" s="433"/>
      <c r="E7" s="435"/>
      <c r="F7" s="437"/>
      <c r="G7" s="433"/>
      <c r="H7" s="435"/>
      <c r="I7" s="442"/>
      <c r="J7" s="439"/>
      <c r="K7" s="435"/>
      <c r="L7" s="431"/>
    </row>
    <row r="8" spans="1:13" ht="13.5" thickBot="1">
      <c r="A8" s="149" t="s">
        <v>43</v>
      </c>
      <c r="B8" s="150"/>
      <c r="C8" s="151"/>
      <c r="D8" s="152"/>
      <c r="E8" s="153"/>
      <c r="F8" s="154"/>
      <c r="G8" s="153"/>
      <c r="H8" s="153"/>
      <c r="I8" s="153"/>
      <c r="J8" s="152"/>
      <c r="K8" s="155"/>
      <c r="L8" s="154"/>
    </row>
    <row r="9" spans="1:13">
      <c r="A9" s="156">
        <v>2001</v>
      </c>
      <c r="B9" s="157" t="s">
        <v>44</v>
      </c>
      <c r="C9" s="158" t="s">
        <v>45</v>
      </c>
      <c r="D9" s="159">
        <v>4.0999999999999996</v>
      </c>
      <c r="E9" s="160">
        <v>1000</v>
      </c>
      <c r="F9" s="161">
        <v>4.1000000000000003E-3</v>
      </c>
      <c r="G9" s="162">
        <v>0.69</v>
      </c>
      <c r="H9" s="160">
        <v>10</v>
      </c>
      <c r="I9" s="163">
        <v>6.9000000000000006E-2</v>
      </c>
      <c r="J9" s="159">
        <v>0.05</v>
      </c>
      <c r="K9" s="160" t="s">
        <v>46</v>
      </c>
      <c r="L9" s="161" t="s">
        <v>47</v>
      </c>
      <c r="M9" s="1" t="s">
        <v>52</v>
      </c>
    </row>
    <row r="10" spans="1:13">
      <c r="A10" s="164">
        <v>2002</v>
      </c>
      <c r="B10" s="165" t="s">
        <v>44</v>
      </c>
      <c r="C10" s="166" t="s">
        <v>48</v>
      </c>
      <c r="D10" s="167">
        <v>6.7</v>
      </c>
      <c r="E10" s="168">
        <v>5000</v>
      </c>
      <c r="F10" s="169">
        <v>1.34E-3</v>
      </c>
      <c r="G10" s="170">
        <v>0.5</v>
      </c>
      <c r="H10" s="168">
        <v>10</v>
      </c>
      <c r="I10" s="171">
        <v>0.05</v>
      </c>
      <c r="J10" s="167">
        <v>0.05</v>
      </c>
      <c r="K10" s="168" t="s">
        <v>46</v>
      </c>
      <c r="L10" s="169" t="s">
        <v>47</v>
      </c>
    </row>
    <row r="11" spans="1:13">
      <c r="A11" s="164">
        <v>2003</v>
      </c>
      <c r="B11" s="165" t="s">
        <v>44</v>
      </c>
      <c r="C11" s="166" t="s">
        <v>49</v>
      </c>
      <c r="D11" s="167">
        <v>40</v>
      </c>
      <c r="E11" s="168">
        <v>1000</v>
      </c>
      <c r="F11" s="169">
        <v>0.04</v>
      </c>
      <c r="G11" s="170">
        <v>1.35</v>
      </c>
      <c r="H11" s="168">
        <v>10</v>
      </c>
      <c r="I11" s="171">
        <v>0.13500000000000001</v>
      </c>
      <c r="J11" s="167">
        <v>0.05</v>
      </c>
      <c r="K11" s="168" t="s">
        <v>46</v>
      </c>
      <c r="L11" s="169" t="s">
        <v>50</v>
      </c>
    </row>
    <row r="12" spans="1:13">
      <c r="A12" s="164">
        <v>2004</v>
      </c>
      <c r="B12" s="165" t="s">
        <v>44</v>
      </c>
      <c r="C12" s="166" t="s">
        <v>51</v>
      </c>
      <c r="D12" s="167">
        <v>8.64</v>
      </c>
      <c r="E12" s="168">
        <v>1000</v>
      </c>
      <c r="F12" s="169">
        <v>8.6400000000000001E-3</v>
      </c>
      <c r="G12" s="170">
        <v>0.95</v>
      </c>
      <c r="H12" s="168">
        <v>10</v>
      </c>
      <c r="I12" s="171">
        <v>9.5000000000000001E-2</v>
      </c>
      <c r="J12" s="167">
        <v>0.05</v>
      </c>
      <c r="K12" s="168" t="s">
        <v>46</v>
      </c>
      <c r="L12" s="169" t="s">
        <v>52</v>
      </c>
    </row>
    <row r="13" spans="1:13">
      <c r="A13" s="164">
        <v>2005</v>
      </c>
      <c r="B13" s="165" t="s">
        <v>44</v>
      </c>
      <c r="C13" s="166" t="s">
        <v>53</v>
      </c>
      <c r="D13" s="167">
        <v>2.8</v>
      </c>
      <c r="E13" s="168">
        <v>1000</v>
      </c>
      <c r="F13" s="169">
        <v>2.8E-3</v>
      </c>
      <c r="G13" s="170">
        <v>0.39100000000000001</v>
      </c>
      <c r="H13" s="168">
        <v>10</v>
      </c>
      <c r="I13" s="171">
        <v>3.9100000000000003E-2</v>
      </c>
      <c r="J13" s="167">
        <v>0.05</v>
      </c>
      <c r="K13" s="168" t="s">
        <v>46</v>
      </c>
      <c r="L13" s="169" t="s">
        <v>50</v>
      </c>
    </row>
    <row r="14" spans="1:13">
      <c r="A14" s="164">
        <v>2006</v>
      </c>
      <c r="B14" s="165" t="s">
        <v>44</v>
      </c>
      <c r="C14" s="166" t="s">
        <v>54</v>
      </c>
      <c r="D14" s="167">
        <v>15</v>
      </c>
      <c r="E14" s="168">
        <v>1000</v>
      </c>
      <c r="F14" s="169">
        <v>1.4999999999999999E-2</v>
      </c>
      <c r="G14" s="170">
        <v>0.41899999999999998</v>
      </c>
      <c r="H14" s="168">
        <v>10</v>
      </c>
      <c r="I14" s="171">
        <v>4.19E-2</v>
      </c>
      <c r="J14" s="167">
        <v>0.05</v>
      </c>
      <c r="K14" s="168" t="s">
        <v>46</v>
      </c>
      <c r="L14" s="169" t="s">
        <v>50</v>
      </c>
    </row>
    <row r="15" spans="1:13">
      <c r="A15" s="164">
        <v>2007</v>
      </c>
      <c r="B15" s="165" t="s">
        <v>44</v>
      </c>
      <c r="C15" s="166" t="s">
        <v>55</v>
      </c>
      <c r="D15" s="167">
        <v>27</v>
      </c>
      <c r="E15" s="168">
        <v>1000</v>
      </c>
      <c r="F15" s="169">
        <v>2.7E-2</v>
      </c>
      <c r="G15" s="170">
        <v>0.2</v>
      </c>
      <c r="H15" s="168">
        <v>10</v>
      </c>
      <c r="I15" s="171">
        <v>0.02</v>
      </c>
      <c r="J15" s="167">
        <v>0.05</v>
      </c>
      <c r="K15" s="168" t="s">
        <v>46</v>
      </c>
      <c r="L15" s="169" t="s">
        <v>50</v>
      </c>
    </row>
    <row r="16" spans="1:13">
      <c r="A16" s="164">
        <v>2008</v>
      </c>
      <c r="B16" s="165" t="s">
        <v>44</v>
      </c>
      <c r="C16" s="166" t="s">
        <v>56</v>
      </c>
      <c r="D16" s="167">
        <v>7.1</v>
      </c>
      <c r="E16" s="168">
        <v>1000</v>
      </c>
      <c r="F16" s="169">
        <v>7.1000000000000004E-3</v>
      </c>
      <c r="G16" s="170">
        <v>1.9</v>
      </c>
      <c r="H16" s="168">
        <v>50</v>
      </c>
      <c r="I16" s="171">
        <v>3.7999999999999999E-2</v>
      </c>
      <c r="J16" s="167">
        <v>0.05</v>
      </c>
      <c r="K16" s="168" t="s">
        <v>46</v>
      </c>
      <c r="L16" s="169" t="s">
        <v>52</v>
      </c>
    </row>
    <row r="17" spans="1:12">
      <c r="A17" s="164">
        <v>2009</v>
      </c>
      <c r="B17" s="165" t="s">
        <v>44</v>
      </c>
      <c r="C17" s="166" t="s">
        <v>57</v>
      </c>
      <c r="D17" s="167">
        <v>4.5999999999999996</v>
      </c>
      <c r="E17" s="168">
        <v>1000</v>
      </c>
      <c r="F17" s="169">
        <v>4.5999999999999999E-3</v>
      </c>
      <c r="G17" s="170">
        <v>0.14000000000000001</v>
      </c>
      <c r="H17" s="168">
        <v>10</v>
      </c>
      <c r="I17" s="171">
        <v>1.4E-2</v>
      </c>
      <c r="J17" s="167">
        <v>0.05</v>
      </c>
      <c r="K17" s="168" t="s">
        <v>46</v>
      </c>
      <c r="L17" s="169" t="s">
        <v>50</v>
      </c>
    </row>
    <row r="18" spans="1:12">
      <c r="A18" s="164">
        <v>2010</v>
      </c>
      <c r="B18" s="165" t="s">
        <v>44</v>
      </c>
      <c r="C18" s="166" t="s">
        <v>58</v>
      </c>
      <c r="D18" s="167">
        <v>0.56999999999999995</v>
      </c>
      <c r="E18" s="168">
        <v>10000</v>
      </c>
      <c r="F18" s="169">
        <v>5.7000000000000003E-5</v>
      </c>
      <c r="G18" s="172"/>
      <c r="H18" s="173"/>
      <c r="I18" s="171">
        <v>5.7000000000000003E-5</v>
      </c>
      <c r="J18" s="167">
        <v>0.05</v>
      </c>
      <c r="K18" s="168" t="s">
        <v>46</v>
      </c>
      <c r="L18" s="169" t="s">
        <v>50</v>
      </c>
    </row>
    <row r="19" spans="1:12">
      <c r="A19" s="164">
        <v>2011</v>
      </c>
      <c r="B19" s="165" t="s">
        <v>44</v>
      </c>
      <c r="C19" s="166" t="s">
        <v>59</v>
      </c>
      <c r="D19" s="167">
        <v>18</v>
      </c>
      <c r="E19" s="168">
        <v>1000</v>
      </c>
      <c r="F19" s="169">
        <v>1.7999999999999999E-2</v>
      </c>
      <c r="G19" s="172"/>
      <c r="H19" s="173"/>
      <c r="I19" s="171">
        <v>1.7999999999999999E-2</v>
      </c>
      <c r="J19" s="167">
        <v>0.05</v>
      </c>
      <c r="K19" s="168" t="s">
        <v>46</v>
      </c>
      <c r="L19" s="169" t="s">
        <v>52</v>
      </c>
    </row>
    <row r="20" spans="1:12">
      <c r="A20" s="164">
        <v>2012</v>
      </c>
      <c r="B20" s="165" t="s">
        <v>44</v>
      </c>
      <c r="C20" s="166" t="s">
        <v>60</v>
      </c>
      <c r="D20" s="167">
        <v>2</v>
      </c>
      <c r="E20" s="168">
        <v>1000</v>
      </c>
      <c r="F20" s="169">
        <v>2E-3</v>
      </c>
      <c r="G20" s="172"/>
      <c r="H20" s="173"/>
      <c r="I20" s="171">
        <v>2E-3</v>
      </c>
      <c r="J20" s="167">
        <v>0.05</v>
      </c>
      <c r="K20" s="168" t="s">
        <v>46</v>
      </c>
      <c r="L20" s="169" t="s">
        <v>52</v>
      </c>
    </row>
    <row r="21" spans="1:12">
      <c r="A21" s="164">
        <v>2013</v>
      </c>
      <c r="B21" s="165" t="s">
        <v>44</v>
      </c>
      <c r="C21" s="166" t="s">
        <v>61</v>
      </c>
      <c r="D21" s="167">
        <v>0.73</v>
      </c>
      <c r="E21" s="168">
        <v>1000</v>
      </c>
      <c r="F21" s="169">
        <v>7.2999999999999996E-4</v>
      </c>
      <c r="G21" s="172"/>
      <c r="H21" s="173"/>
      <c r="I21" s="171">
        <v>7.2999999999999996E-4</v>
      </c>
      <c r="J21" s="167">
        <v>0.05</v>
      </c>
      <c r="K21" s="168" t="s">
        <v>46</v>
      </c>
      <c r="L21" s="169" t="s">
        <v>52</v>
      </c>
    </row>
    <row r="22" spans="1:12">
      <c r="A22" s="164">
        <v>2014</v>
      </c>
      <c r="B22" s="165" t="s">
        <v>44</v>
      </c>
      <c r="C22" s="166" t="s">
        <v>62</v>
      </c>
      <c r="D22" s="167">
        <v>100</v>
      </c>
      <c r="E22" s="168">
        <v>1000</v>
      </c>
      <c r="F22" s="169">
        <v>0.1</v>
      </c>
      <c r="G22" s="172"/>
      <c r="H22" s="173"/>
      <c r="I22" s="171">
        <v>0.1</v>
      </c>
      <c r="J22" s="167">
        <v>0.05</v>
      </c>
      <c r="K22" s="168" t="s">
        <v>46</v>
      </c>
      <c r="L22" s="169" t="s">
        <v>52</v>
      </c>
    </row>
    <row r="23" spans="1:12">
      <c r="A23" s="164">
        <v>2015</v>
      </c>
      <c r="B23" s="165" t="s">
        <v>44</v>
      </c>
      <c r="C23" s="166" t="s">
        <v>63</v>
      </c>
      <c r="D23" s="167">
        <v>6.6</v>
      </c>
      <c r="E23" s="168">
        <v>1000</v>
      </c>
      <c r="F23" s="169">
        <v>6.6E-3</v>
      </c>
      <c r="G23" s="172"/>
      <c r="H23" s="173"/>
      <c r="I23" s="171">
        <v>6.6E-3</v>
      </c>
      <c r="J23" s="167">
        <v>0.05</v>
      </c>
      <c r="K23" s="168" t="s">
        <v>46</v>
      </c>
      <c r="L23" s="169" t="s">
        <v>52</v>
      </c>
    </row>
    <row r="24" spans="1:12">
      <c r="A24" s="164">
        <v>2016</v>
      </c>
      <c r="B24" s="165" t="s">
        <v>44</v>
      </c>
      <c r="C24" s="166" t="s">
        <v>64</v>
      </c>
      <c r="D24" s="167">
        <v>0.88</v>
      </c>
      <c r="E24" s="168">
        <v>1000</v>
      </c>
      <c r="F24" s="169">
        <v>8.8000000000000003E-4</v>
      </c>
      <c r="G24" s="172"/>
      <c r="H24" s="173"/>
      <c r="I24" s="171">
        <v>8.8000000000000003E-4</v>
      </c>
      <c r="J24" s="167">
        <v>0.05</v>
      </c>
      <c r="K24" s="168" t="s">
        <v>46</v>
      </c>
      <c r="L24" s="169" t="s">
        <v>52</v>
      </c>
    </row>
    <row r="25" spans="1:12">
      <c r="A25" s="164">
        <v>2017</v>
      </c>
      <c r="B25" s="165" t="s">
        <v>44</v>
      </c>
      <c r="C25" s="166" t="s">
        <v>65</v>
      </c>
      <c r="D25" s="167">
        <v>1.96</v>
      </c>
      <c r="E25" s="168">
        <v>1000</v>
      </c>
      <c r="F25" s="169">
        <v>1.9599999999999999E-3</v>
      </c>
      <c r="G25" s="172"/>
      <c r="H25" s="173"/>
      <c r="I25" s="171">
        <v>1.9599999999999999E-3</v>
      </c>
      <c r="J25" s="167">
        <v>0.5</v>
      </c>
      <c r="K25" s="168" t="s">
        <v>66</v>
      </c>
      <c r="L25" s="169" t="s">
        <v>52</v>
      </c>
    </row>
    <row r="26" spans="1:12">
      <c r="A26" s="164">
        <v>2018</v>
      </c>
      <c r="B26" s="165" t="s">
        <v>44</v>
      </c>
      <c r="C26" s="166" t="s">
        <v>67</v>
      </c>
      <c r="D26" s="167">
        <v>10</v>
      </c>
      <c r="E26" s="168">
        <v>1000</v>
      </c>
      <c r="F26" s="169">
        <v>0.01</v>
      </c>
      <c r="G26" s="172"/>
      <c r="H26" s="173"/>
      <c r="I26" s="171">
        <v>0.01</v>
      </c>
      <c r="J26" s="167">
        <v>0.05</v>
      </c>
      <c r="K26" s="168" t="s">
        <v>46</v>
      </c>
      <c r="L26" s="169" t="s">
        <v>52</v>
      </c>
    </row>
    <row r="27" spans="1:12">
      <c r="A27" s="164">
        <v>2019</v>
      </c>
      <c r="B27" s="165" t="s">
        <v>44</v>
      </c>
      <c r="C27" s="166" t="s">
        <v>68</v>
      </c>
      <c r="D27" s="167">
        <v>6.1</v>
      </c>
      <c r="E27" s="168">
        <v>1000</v>
      </c>
      <c r="F27" s="169">
        <v>6.1000000000000004E-3</v>
      </c>
      <c r="G27" s="172"/>
      <c r="H27" s="173"/>
      <c r="I27" s="171">
        <v>6.1000000000000004E-3</v>
      </c>
      <c r="J27" s="167">
        <v>0.05</v>
      </c>
      <c r="K27" s="168" t="s">
        <v>46</v>
      </c>
      <c r="L27" s="169" t="s">
        <v>52</v>
      </c>
    </row>
    <row r="28" spans="1:12" ht="25.5">
      <c r="A28" s="174">
        <v>2020</v>
      </c>
      <c r="B28" s="165" t="s">
        <v>44</v>
      </c>
      <c r="C28" s="175" t="s">
        <v>220</v>
      </c>
      <c r="D28" s="167">
        <v>10</v>
      </c>
      <c r="E28" s="168">
        <v>1000</v>
      </c>
      <c r="F28" s="169">
        <v>0.01</v>
      </c>
      <c r="G28" s="172"/>
      <c r="H28" s="173"/>
      <c r="I28" s="171">
        <v>0.01</v>
      </c>
      <c r="J28" s="167">
        <v>0.05</v>
      </c>
      <c r="K28" s="168" t="s">
        <v>46</v>
      </c>
      <c r="L28" s="169" t="s">
        <v>52</v>
      </c>
    </row>
    <row r="29" spans="1:12">
      <c r="A29" s="164">
        <v>2021</v>
      </c>
      <c r="B29" s="165" t="s">
        <v>44</v>
      </c>
      <c r="C29" s="166" t="s">
        <v>69</v>
      </c>
      <c r="D29" s="167">
        <v>9</v>
      </c>
      <c r="E29" s="168">
        <v>10000</v>
      </c>
      <c r="F29" s="169">
        <v>8.9999999999999998E-4</v>
      </c>
      <c r="G29" s="170">
        <v>0.25</v>
      </c>
      <c r="H29" s="168">
        <v>50</v>
      </c>
      <c r="I29" s="171">
        <v>5.0000000000000001E-3</v>
      </c>
      <c r="J29" s="167">
        <v>0.05</v>
      </c>
      <c r="K29" s="168" t="s">
        <v>46</v>
      </c>
      <c r="L29" s="169" t="s">
        <v>47</v>
      </c>
    </row>
    <row r="30" spans="1:12">
      <c r="A30" s="164">
        <v>2022</v>
      </c>
      <c r="B30" s="165" t="s">
        <v>44</v>
      </c>
      <c r="C30" s="166" t="s">
        <v>70</v>
      </c>
      <c r="D30" s="167">
        <v>0.80649999999999999</v>
      </c>
      <c r="E30" s="168">
        <v>1000</v>
      </c>
      <c r="F30" s="169">
        <v>8.0699999999999999E-4</v>
      </c>
      <c r="G30" s="170">
        <v>0.23</v>
      </c>
      <c r="H30" s="168">
        <v>50</v>
      </c>
      <c r="I30" s="171">
        <v>4.5999999999999999E-3</v>
      </c>
      <c r="J30" s="167">
        <v>0.05</v>
      </c>
      <c r="K30" s="168" t="s">
        <v>46</v>
      </c>
      <c r="L30" s="169" t="s">
        <v>47</v>
      </c>
    </row>
    <row r="31" spans="1:12">
      <c r="A31" s="164">
        <v>2023</v>
      </c>
      <c r="B31" s="165" t="s">
        <v>44</v>
      </c>
      <c r="C31" s="166" t="s">
        <v>71</v>
      </c>
      <c r="D31" s="167">
        <v>3.3</v>
      </c>
      <c r="E31" s="168">
        <v>10000</v>
      </c>
      <c r="F31" s="169">
        <v>3.3E-4</v>
      </c>
      <c r="G31" s="170">
        <v>1.2</v>
      </c>
      <c r="H31" s="168">
        <v>50</v>
      </c>
      <c r="I31" s="171">
        <v>2.4E-2</v>
      </c>
      <c r="J31" s="167">
        <v>0.05</v>
      </c>
      <c r="K31" s="168" t="s">
        <v>46</v>
      </c>
      <c r="L31" s="169" t="s">
        <v>47</v>
      </c>
    </row>
    <row r="32" spans="1:12">
      <c r="A32" s="164">
        <v>2024</v>
      </c>
      <c r="B32" s="165" t="s">
        <v>44</v>
      </c>
      <c r="C32" s="166" t="s">
        <v>72</v>
      </c>
      <c r="D32" s="167">
        <v>0.5</v>
      </c>
      <c r="E32" s="168">
        <v>5000</v>
      </c>
      <c r="F32" s="169">
        <v>1E-4</v>
      </c>
      <c r="G32" s="172"/>
      <c r="H32" s="173"/>
      <c r="I32" s="171">
        <v>1E-4</v>
      </c>
      <c r="J32" s="167">
        <v>0.05</v>
      </c>
      <c r="K32" s="168" t="s">
        <v>46</v>
      </c>
      <c r="L32" s="169" t="s">
        <v>47</v>
      </c>
    </row>
    <row r="33" spans="1:12">
      <c r="A33" s="164">
        <v>2025</v>
      </c>
      <c r="B33" s="165" t="s">
        <v>44</v>
      </c>
      <c r="C33" s="166" t="s">
        <v>73</v>
      </c>
      <c r="D33" s="167">
        <v>22</v>
      </c>
      <c r="E33" s="168">
        <v>1000</v>
      </c>
      <c r="F33" s="169">
        <v>2.1999999999999999E-2</v>
      </c>
      <c r="G33" s="170">
        <v>10</v>
      </c>
      <c r="H33" s="168">
        <v>100</v>
      </c>
      <c r="I33" s="171">
        <v>0.1</v>
      </c>
      <c r="J33" s="167">
        <v>0.05</v>
      </c>
      <c r="K33" s="168" t="s">
        <v>46</v>
      </c>
      <c r="L33" s="169" t="s">
        <v>50</v>
      </c>
    </row>
    <row r="34" spans="1:12">
      <c r="A34" s="164">
        <v>2026</v>
      </c>
      <c r="B34" s="165" t="s">
        <v>44</v>
      </c>
      <c r="C34" s="166" t="s">
        <v>221</v>
      </c>
      <c r="D34" s="167">
        <v>56</v>
      </c>
      <c r="E34" s="168">
        <v>10000</v>
      </c>
      <c r="F34" s="169">
        <v>5.5999999999999999E-3</v>
      </c>
      <c r="G34" s="172"/>
      <c r="H34" s="173"/>
      <c r="I34" s="171">
        <v>5.5999999999999999E-3</v>
      </c>
      <c r="J34" s="167">
        <v>0.05</v>
      </c>
      <c r="K34" s="168" t="s">
        <v>46</v>
      </c>
      <c r="L34" s="169" t="s">
        <v>50</v>
      </c>
    </row>
    <row r="35" spans="1:12">
      <c r="A35" s="164">
        <v>2027</v>
      </c>
      <c r="B35" s="165" t="s">
        <v>44</v>
      </c>
      <c r="C35" s="166" t="s">
        <v>74</v>
      </c>
      <c r="D35" s="167">
        <v>100</v>
      </c>
      <c r="E35" s="168">
        <v>10000</v>
      </c>
      <c r="F35" s="169">
        <v>0.01</v>
      </c>
      <c r="G35" s="172"/>
      <c r="H35" s="173"/>
      <c r="I35" s="171">
        <v>0.01</v>
      </c>
      <c r="J35" s="167">
        <v>0.05</v>
      </c>
      <c r="K35" s="168" t="s">
        <v>46</v>
      </c>
      <c r="L35" s="169" t="s">
        <v>52</v>
      </c>
    </row>
    <row r="36" spans="1:12">
      <c r="A36" s="164">
        <v>2028</v>
      </c>
      <c r="B36" s="165" t="s">
        <v>44</v>
      </c>
      <c r="C36" s="166" t="s">
        <v>222</v>
      </c>
      <c r="D36" s="167">
        <v>8.8000000000000007</v>
      </c>
      <c r="E36" s="168">
        <v>1000</v>
      </c>
      <c r="F36" s="169">
        <v>8.8000000000000005E-3</v>
      </c>
      <c r="G36" s="170">
        <v>5</v>
      </c>
      <c r="H36" s="168">
        <v>100</v>
      </c>
      <c r="I36" s="171">
        <v>0.05</v>
      </c>
      <c r="J36" s="167">
        <v>0.05</v>
      </c>
      <c r="K36" s="168" t="s">
        <v>46</v>
      </c>
      <c r="L36" s="169" t="s">
        <v>52</v>
      </c>
    </row>
    <row r="37" spans="1:12">
      <c r="A37" s="164">
        <v>2029</v>
      </c>
      <c r="B37" s="165" t="s">
        <v>44</v>
      </c>
      <c r="C37" s="166" t="s">
        <v>75</v>
      </c>
      <c r="D37" s="167">
        <v>38</v>
      </c>
      <c r="E37" s="168">
        <v>1000</v>
      </c>
      <c r="F37" s="169">
        <v>3.7999999999999999E-2</v>
      </c>
      <c r="G37" s="172"/>
      <c r="H37" s="173"/>
      <c r="I37" s="171">
        <v>3.7999999999999999E-2</v>
      </c>
      <c r="J37" s="167">
        <v>0.05</v>
      </c>
      <c r="K37" s="168" t="s">
        <v>46</v>
      </c>
      <c r="L37" s="169" t="s">
        <v>47</v>
      </c>
    </row>
    <row r="38" spans="1:12">
      <c r="A38" s="164">
        <v>2030</v>
      </c>
      <c r="B38" s="165" t="s">
        <v>44</v>
      </c>
      <c r="C38" s="166" t="s">
        <v>76</v>
      </c>
      <c r="D38" s="167">
        <v>0.1</v>
      </c>
      <c r="E38" s="168">
        <v>1000</v>
      </c>
      <c r="F38" s="169">
        <v>1E-4</v>
      </c>
      <c r="G38" s="170">
        <v>0.32</v>
      </c>
      <c r="H38" s="168">
        <v>100</v>
      </c>
      <c r="I38" s="171">
        <v>3.2000000000000002E-3</v>
      </c>
      <c r="J38" s="167">
        <v>0.5</v>
      </c>
      <c r="K38" s="168" t="s">
        <v>66</v>
      </c>
      <c r="L38" s="169" t="s">
        <v>52</v>
      </c>
    </row>
    <row r="39" spans="1:12">
      <c r="A39" s="164">
        <v>2031</v>
      </c>
      <c r="B39" s="165" t="s">
        <v>44</v>
      </c>
      <c r="C39" s="166" t="s">
        <v>77</v>
      </c>
      <c r="D39" s="167">
        <v>238</v>
      </c>
      <c r="E39" s="168">
        <v>1000</v>
      </c>
      <c r="F39" s="169">
        <v>0.23799999999999999</v>
      </c>
      <c r="G39" s="172"/>
      <c r="H39" s="173"/>
      <c r="I39" s="171">
        <v>0.23799999999999999</v>
      </c>
      <c r="J39" s="167">
        <v>0.05</v>
      </c>
      <c r="K39" s="168" t="s">
        <v>46</v>
      </c>
      <c r="L39" s="169" t="s">
        <v>50</v>
      </c>
    </row>
    <row r="40" spans="1:12" ht="13.5" thickBot="1">
      <c r="A40" s="176">
        <v>2032</v>
      </c>
      <c r="B40" s="177" t="s">
        <v>44</v>
      </c>
      <c r="C40" s="178" t="s">
        <v>78</v>
      </c>
      <c r="D40" s="179">
        <v>25.1</v>
      </c>
      <c r="E40" s="180">
        <v>1000</v>
      </c>
      <c r="F40" s="181">
        <v>2.5100000000000001E-2</v>
      </c>
      <c r="G40" s="182">
        <v>12.5</v>
      </c>
      <c r="H40" s="180">
        <v>50</v>
      </c>
      <c r="I40" s="183">
        <v>0.25</v>
      </c>
      <c r="J40" s="179">
        <v>0.05</v>
      </c>
      <c r="K40" s="180" t="s">
        <v>46</v>
      </c>
      <c r="L40" s="181" t="s">
        <v>50</v>
      </c>
    </row>
    <row r="41" spans="1:12">
      <c r="A41" s="156">
        <v>2107</v>
      </c>
      <c r="B41" s="157" t="s">
        <v>79</v>
      </c>
      <c r="C41" s="158" t="s">
        <v>80</v>
      </c>
      <c r="D41" s="159">
        <v>37.299999999999997</v>
      </c>
      <c r="E41" s="160">
        <v>5000</v>
      </c>
      <c r="F41" s="161">
        <v>7.4599999999999996E-3</v>
      </c>
      <c r="G41" s="162">
        <v>1.5</v>
      </c>
      <c r="H41" s="160">
        <v>10</v>
      </c>
      <c r="I41" s="163">
        <v>0.15</v>
      </c>
      <c r="J41" s="159">
        <v>0.05</v>
      </c>
      <c r="K41" s="160" t="s">
        <v>46</v>
      </c>
      <c r="L41" s="161" t="s">
        <v>52</v>
      </c>
    </row>
    <row r="42" spans="1:12" ht="25.5">
      <c r="A42" s="164">
        <v>2108</v>
      </c>
      <c r="B42" s="165" t="s">
        <v>79</v>
      </c>
      <c r="C42" s="166" t="s">
        <v>81</v>
      </c>
      <c r="D42" s="167">
        <v>5</v>
      </c>
      <c r="E42" s="168">
        <v>1000</v>
      </c>
      <c r="F42" s="169">
        <v>5.0000000000000001E-3</v>
      </c>
      <c r="G42" s="170">
        <v>1.5</v>
      </c>
      <c r="H42" s="168">
        <v>10</v>
      </c>
      <c r="I42" s="171">
        <v>0.15</v>
      </c>
      <c r="J42" s="167">
        <v>0.05</v>
      </c>
      <c r="K42" s="168" t="s">
        <v>46</v>
      </c>
      <c r="L42" s="169" t="s">
        <v>50</v>
      </c>
    </row>
    <row r="43" spans="1:12">
      <c r="A43" s="164">
        <v>2112</v>
      </c>
      <c r="B43" s="165" t="s">
        <v>79</v>
      </c>
      <c r="C43" s="166" t="s">
        <v>82</v>
      </c>
      <c r="D43" s="167">
        <v>0.23</v>
      </c>
      <c r="E43" s="168">
        <v>1000</v>
      </c>
      <c r="F43" s="169">
        <v>2.3000000000000001E-4</v>
      </c>
      <c r="G43" s="170">
        <v>0.18</v>
      </c>
      <c r="H43" s="168">
        <v>100</v>
      </c>
      <c r="I43" s="171">
        <v>1.8E-3</v>
      </c>
      <c r="J43" s="167">
        <v>0.05</v>
      </c>
      <c r="K43" s="168" t="s">
        <v>46</v>
      </c>
      <c r="L43" s="169" t="s">
        <v>52</v>
      </c>
    </row>
    <row r="44" spans="1:12">
      <c r="A44" s="164">
        <v>2113</v>
      </c>
      <c r="B44" s="165" t="s">
        <v>79</v>
      </c>
      <c r="C44" s="166" t="s">
        <v>287</v>
      </c>
      <c r="D44" s="167">
        <v>1</v>
      </c>
      <c r="E44" s="168">
        <v>1000</v>
      </c>
      <c r="F44" s="169">
        <v>1E-3</v>
      </c>
      <c r="G44" s="170">
        <v>0.74</v>
      </c>
      <c r="H44" s="168">
        <v>10</v>
      </c>
      <c r="I44" s="171">
        <v>7.3999999999999996E-2</v>
      </c>
      <c r="J44" s="167">
        <v>0.05</v>
      </c>
      <c r="K44" s="168" t="s">
        <v>46</v>
      </c>
      <c r="L44" s="169" t="s">
        <v>52</v>
      </c>
    </row>
    <row r="45" spans="1:12">
      <c r="A45" s="164">
        <v>2114</v>
      </c>
      <c r="B45" s="165" t="s">
        <v>79</v>
      </c>
      <c r="C45" s="166" t="s">
        <v>288</v>
      </c>
      <c r="D45" s="167">
        <v>1</v>
      </c>
      <c r="E45" s="168">
        <v>1000</v>
      </c>
      <c r="F45" s="169">
        <v>1E-3</v>
      </c>
      <c r="G45" s="170">
        <v>0.6</v>
      </c>
      <c r="H45" s="168">
        <v>10</v>
      </c>
      <c r="I45" s="171">
        <v>0.06</v>
      </c>
      <c r="J45" s="167">
        <v>0.05</v>
      </c>
      <c r="K45" s="168" t="s">
        <v>46</v>
      </c>
      <c r="L45" s="169" t="s">
        <v>52</v>
      </c>
    </row>
    <row r="46" spans="1:12">
      <c r="A46" s="164">
        <v>2115</v>
      </c>
      <c r="B46" s="165" t="s">
        <v>79</v>
      </c>
      <c r="C46" s="166" t="s">
        <v>289</v>
      </c>
      <c r="D46" s="167">
        <v>1</v>
      </c>
      <c r="E46" s="168">
        <v>1000</v>
      </c>
      <c r="F46" s="169">
        <v>1E-3</v>
      </c>
      <c r="G46" s="170">
        <v>2.5</v>
      </c>
      <c r="H46" s="168">
        <v>10</v>
      </c>
      <c r="I46" s="171">
        <v>0.25</v>
      </c>
      <c r="J46" s="167">
        <v>0.05</v>
      </c>
      <c r="K46" s="168" t="s">
        <v>46</v>
      </c>
      <c r="L46" s="169" t="s">
        <v>52</v>
      </c>
    </row>
    <row r="47" spans="1:12">
      <c r="A47" s="164">
        <v>2130</v>
      </c>
      <c r="B47" s="165" t="s">
        <v>79</v>
      </c>
      <c r="C47" s="166" t="s">
        <v>83</v>
      </c>
      <c r="D47" s="167">
        <v>0.78</v>
      </c>
      <c r="E47" s="168">
        <v>1000</v>
      </c>
      <c r="F47" s="169">
        <v>7.7999999999999999E-4</v>
      </c>
      <c r="G47" s="170">
        <v>0.36</v>
      </c>
      <c r="H47" s="168">
        <v>100</v>
      </c>
      <c r="I47" s="171">
        <v>3.5999999999999999E-3</v>
      </c>
      <c r="J47" s="167">
        <v>0.05</v>
      </c>
      <c r="K47" s="168" t="s">
        <v>46</v>
      </c>
      <c r="L47" s="169" t="s">
        <v>52</v>
      </c>
    </row>
    <row r="48" spans="1:12">
      <c r="A48" s="164">
        <v>2131</v>
      </c>
      <c r="B48" s="165" t="s">
        <v>79</v>
      </c>
      <c r="C48" s="166" t="s">
        <v>84</v>
      </c>
      <c r="D48" s="167">
        <v>3.2</v>
      </c>
      <c r="E48" s="168">
        <v>5000</v>
      </c>
      <c r="F48" s="169">
        <v>6.4000000000000005E-4</v>
      </c>
      <c r="G48" s="170">
        <v>1</v>
      </c>
      <c r="H48" s="168">
        <v>100</v>
      </c>
      <c r="I48" s="171">
        <v>0.01</v>
      </c>
      <c r="J48" s="167">
        <v>0.05</v>
      </c>
      <c r="K48" s="168" t="s">
        <v>46</v>
      </c>
      <c r="L48" s="169" t="s">
        <v>52</v>
      </c>
    </row>
    <row r="49" spans="1:12">
      <c r="A49" s="164">
        <v>2132</v>
      </c>
      <c r="B49" s="165" t="s">
        <v>79</v>
      </c>
      <c r="C49" s="166" t="s">
        <v>85</v>
      </c>
      <c r="D49" s="167">
        <v>10</v>
      </c>
      <c r="E49" s="168">
        <v>1000</v>
      </c>
      <c r="F49" s="169">
        <v>0.01</v>
      </c>
      <c r="G49" s="172"/>
      <c r="H49" s="173"/>
      <c r="I49" s="171">
        <v>0.01</v>
      </c>
      <c r="J49" s="167">
        <v>0.05</v>
      </c>
      <c r="K49" s="168" t="s">
        <v>46</v>
      </c>
      <c r="L49" s="169" t="s">
        <v>50</v>
      </c>
    </row>
    <row r="50" spans="1:12">
      <c r="A50" s="164">
        <v>2133</v>
      </c>
      <c r="B50" s="165" t="s">
        <v>79</v>
      </c>
      <c r="C50" s="166" t="s">
        <v>86</v>
      </c>
      <c r="D50" s="167">
        <v>10</v>
      </c>
      <c r="E50" s="168">
        <v>1000</v>
      </c>
      <c r="F50" s="169">
        <v>0.01</v>
      </c>
      <c r="G50" s="170">
        <v>6.25</v>
      </c>
      <c r="H50" s="168">
        <v>50</v>
      </c>
      <c r="I50" s="171">
        <v>0.125</v>
      </c>
      <c r="J50" s="167">
        <v>0.05</v>
      </c>
      <c r="K50" s="168" t="s">
        <v>46</v>
      </c>
      <c r="L50" s="169" t="s">
        <v>50</v>
      </c>
    </row>
    <row r="51" spans="1:12">
      <c r="A51" s="164">
        <v>2134</v>
      </c>
      <c r="B51" s="165" t="s">
        <v>79</v>
      </c>
      <c r="C51" s="166" t="s">
        <v>87</v>
      </c>
      <c r="D51" s="167">
        <v>28</v>
      </c>
      <c r="E51" s="168">
        <v>1000</v>
      </c>
      <c r="F51" s="169">
        <v>2.8000000000000001E-2</v>
      </c>
      <c r="G51" s="170">
        <v>1.75</v>
      </c>
      <c r="H51" s="168">
        <v>10</v>
      </c>
      <c r="I51" s="171">
        <v>0.17499999999999999</v>
      </c>
      <c r="J51" s="167">
        <v>0.05</v>
      </c>
      <c r="K51" s="168" t="s">
        <v>46</v>
      </c>
      <c r="L51" s="169" t="s">
        <v>50</v>
      </c>
    </row>
    <row r="52" spans="1:12">
      <c r="A52" s="164">
        <v>2135</v>
      </c>
      <c r="B52" s="165" t="s">
        <v>79</v>
      </c>
      <c r="C52" s="166" t="s">
        <v>88</v>
      </c>
      <c r="D52" s="167">
        <v>480</v>
      </c>
      <c r="E52" s="168">
        <v>1000</v>
      </c>
      <c r="F52" s="169">
        <v>0.48</v>
      </c>
      <c r="G52" s="170">
        <v>100</v>
      </c>
      <c r="H52" s="168">
        <v>100</v>
      </c>
      <c r="I52" s="171">
        <v>1</v>
      </c>
      <c r="J52" s="167">
        <v>0.05</v>
      </c>
      <c r="K52" s="168" t="s">
        <v>46</v>
      </c>
      <c r="L52" s="169" t="s">
        <v>47</v>
      </c>
    </row>
    <row r="53" spans="1:12">
      <c r="A53" s="164">
        <v>2136</v>
      </c>
      <c r="B53" s="165" t="s">
        <v>79</v>
      </c>
      <c r="C53" s="166" t="s">
        <v>89</v>
      </c>
      <c r="D53" s="167">
        <v>8.6999999999999993</v>
      </c>
      <c r="E53" s="168">
        <v>1000</v>
      </c>
      <c r="F53" s="169">
        <v>8.6999999999999994E-3</v>
      </c>
      <c r="G53" s="170">
        <v>1.75</v>
      </c>
      <c r="H53" s="168">
        <v>10</v>
      </c>
      <c r="I53" s="171">
        <v>0.17499999999999999</v>
      </c>
      <c r="J53" s="167">
        <v>0.05</v>
      </c>
      <c r="K53" s="168" t="s">
        <v>46</v>
      </c>
      <c r="L53" s="169" t="s">
        <v>50</v>
      </c>
    </row>
    <row r="54" spans="1:12">
      <c r="A54" s="164">
        <v>2137</v>
      </c>
      <c r="B54" s="165" t="s">
        <v>79</v>
      </c>
      <c r="C54" s="166" t="s">
        <v>90</v>
      </c>
      <c r="D54" s="184"/>
      <c r="E54" s="173"/>
      <c r="F54" s="169">
        <v>0.17499999999999999</v>
      </c>
      <c r="G54" s="170">
        <v>1.75</v>
      </c>
      <c r="H54" s="168">
        <v>10</v>
      </c>
      <c r="I54" s="171">
        <v>0.17499999999999999</v>
      </c>
      <c r="J54" s="167">
        <v>0.05</v>
      </c>
      <c r="K54" s="168" t="s">
        <v>46</v>
      </c>
      <c r="L54" s="169" t="s">
        <v>52</v>
      </c>
    </row>
    <row r="55" spans="1:12">
      <c r="A55" s="164">
        <v>2138</v>
      </c>
      <c r="B55" s="165" t="s">
        <v>79</v>
      </c>
      <c r="C55" s="166" t="s">
        <v>91</v>
      </c>
      <c r="D55" s="167">
        <v>9.5</v>
      </c>
      <c r="E55" s="168">
        <v>1000</v>
      </c>
      <c r="F55" s="169">
        <v>9.4999999999999998E-3</v>
      </c>
      <c r="G55" s="170">
        <v>7.0000000000000007E-2</v>
      </c>
      <c r="H55" s="168">
        <v>10</v>
      </c>
      <c r="I55" s="171">
        <v>7.0000000000000001E-3</v>
      </c>
      <c r="J55" s="167">
        <v>0.05</v>
      </c>
      <c r="K55" s="168" t="s">
        <v>46</v>
      </c>
      <c r="L55" s="169" t="s">
        <v>50</v>
      </c>
    </row>
    <row r="56" spans="1:12">
      <c r="A56" s="164">
        <v>2139</v>
      </c>
      <c r="B56" s="165" t="s">
        <v>79</v>
      </c>
      <c r="C56" s="166" t="s">
        <v>223</v>
      </c>
      <c r="D56" s="167">
        <v>17</v>
      </c>
      <c r="E56" s="168">
        <v>10000</v>
      </c>
      <c r="F56" s="169">
        <v>1.6999999999999999E-3</v>
      </c>
      <c r="G56" s="172"/>
      <c r="H56" s="173"/>
      <c r="I56" s="171">
        <v>1.6999999999999999E-3</v>
      </c>
      <c r="J56" s="167">
        <v>0.05</v>
      </c>
      <c r="K56" s="168" t="s">
        <v>46</v>
      </c>
      <c r="L56" s="169" t="s">
        <v>50</v>
      </c>
    </row>
    <row r="57" spans="1:12">
      <c r="A57" s="164">
        <v>2140</v>
      </c>
      <c r="B57" s="165" t="s">
        <v>79</v>
      </c>
      <c r="C57" s="166" t="s">
        <v>92</v>
      </c>
      <c r="D57" s="167">
        <v>2</v>
      </c>
      <c r="E57" s="168">
        <v>1000</v>
      </c>
      <c r="F57" s="169">
        <v>2E-3</v>
      </c>
      <c r="G57" s="170">
        <v>7.0000000000000007E-2</v>
      </c>
      <c r="H57" s="168">
        <v>10</v>
      </c>
      <c r="I57" s="171">
        <v>7.0000000000000001E-3</v>
      </c>
      <c r="J57" s="167">
        <v>0.05</v>
      </c>
      <c r="K57" s="168" t="s">
        <v>46</v>
      </c>
      <c r="L57" s="169" t="s">
        <v>50</v>
      </c>
    </row>
    <row r="58" spans="1:12">
      <c r="A58" s="164">
        <v>2141</v>
      </c>
      <c r="B58" s="165" t="s">
        <v>79</v>
      </c>
      <c r="C58" s="166" t="s">
        <v>93</v>
      </c>
      <c r="D58" s="167">
        <v>7</v>
      </c>
      <c r="E58" s="168">
        <v>1000</v>
      </c>
      <c r="F58" s="169">
        <v>7.0000000000000001E-3</v>
      </c>
      <c r="G58" s="172"/>
      <c r="H58" s="173"/>
      <c r="I58" s="171">
        <v>7.0000000000000001E-3</v>
      </c>
      <c r="J58" s="167">
        <v>0.05</v>
      </c>
      <c r="K58" s="168" t="s">
        <v>46</v>
      </c>
      <c r="L58" s="169" t="s">
        <v>50</v>
      </c>
    </row>
    <row r="59" spans="1:12">
      <c r="A59" s="164">
        <v>2142</v>
      </c>
      <c r="B59" s="165" t="s">
        <v>79</v>
      </c>
      <c r="C59" s="166" t="s">
        <v>94</v>
      </c>
      <c r="D59" s="167">
        <v>6.4</v>
      </c>
      <c r="E59" s="168">
        <v>5000</v>
      </c>
      <c r="F59" s="169">
        <v>1.2800000000000001E-3</v>
      </c>
      <c r="G59" s="172"/>
      <c r="H59" s="173"/>
      <c r="I59" s="171">
        <v>1.2800000000000001E-3</v>
      </c>
      <c r="J59" s="167">
        <v>0.05</v>
      </c>
      <c r="K59" s="168" t="s">
        <v>46</v>
      </c>
      <c r="L59" s="169" t="s">
        <v>52</v>
      </c>
    </row>
    <row r="60" spans="1:12">
      <c r="A60" s="164">
        <v>2143</v>
      </c>
      <c r="B60" s="165" t="s">
        <v>79</v>
      </c>
      <c r="C60" s="166" t="s">
        <v>95</v>
      </c>
      <c r="D60" s="167">
        <v>0.1</v>
      </c>
      <c r="E60" s="168">
        <v>5000</v>
      </c>
      <c r="F60" s="169">
        <v>2.0000000000000002E-5</v>
      </c>
      <c r="G60" s="170">
        <v>1.0699999999999999E-2</v>
      </c>
      <c r="H60" s="168">
        <v>50</v>
      </c>
      <c r="I60" s="171">
        <v>2.14E-4</v>
      </c>
      <c r="J60" s="167">
        <v>0.05</v>
      </c>
      <c r="K60" s="168" t="s">
        <v>46</v>
      </c>
      <c r="L60" s="169" t="s">
        <v>52</v>
      </c>
    </row>
    <row r="61" spans="1:12">
      <c r="A61" s="164">
        <v>2144</v>
      </c>
      <c r="B61" s="165" t="s">
        <v>79</v>
      </c>
      <c r="C61" s="166" t="s">
        <v>96</v>
      </c>
      <c r="D61" s="167">
        <v>0.42</v>
      </c>
      <c r="E61" s="168">
        <v>5000</v>
      </c>
      <c r="F61" s="169">
        <v>8.3999999999999995E-5</v>
      </c>
      <c r="G61" s="170">
        <v>1.0699999999999999E-2</v>
      </c>
      <c r="H61" s="168">
        <v>50</v>
      </c>
      <c r="I61" s="171">
        <v>2.14E-4</v>
      </c>
      <c r="J61" s="167">
        <v>0.05</v>
      </c>
      <c r="K61" s="168" t="s">
        <v>46</v>
      </c>
      <c r="L61" s="169" t="s">
        <v>52</v>
      </c>
    </row>
    <row r="62" spans="1:12">
      <c r="A62" s="164">
        <v>2146</v>
      </c>
      <c r="B62" s="165" t="s">
        <v>79</v>
      </c>
      <c r="C62" s="166" t="s">
        <v>97</v>
      </c>
      <c r="D62" s="167">
        <v>3.6</v>
      </c>
      <c r="E62" s="168">
        <v>1000</v>
      </c>
      <c r="F62" s="169">
        <v>3.5999999999999999E-3</v>
      </c>
      <c r="G62" s="172"/>
      <c r="H62" s="173"/>
      <c r="I62" s="171">
        <v>3.5999999999999999E-3</v>
      </c>
      <c r="J62" s="167">
        <v>0.5</v>
      </c>
      <c r="K62" s="168" t="s">
        <v>66</v>
      </c>
      <c r="L62" s="169" t="s">
        <v>52</v>
      </c>
    </row>
    <row r="63" spans="1:12">
      <c r="A63" s="164">
        <v>2147</v>
      </c>
      <c r="B63" s="165" t="s">
        <v>79</v>
      </c>
      <c r="C63" s="166" t="s">
        <v>224</v>
      </c>
      <c r="D63" s="167">
        <v>0.35249999999999998</v>
      </c>
      <c r="E63" s="168">
        <v>10000</v>
      </c>
      <c r="F63" s="185">
        <v>3.5299999999999997E-5</v>
      </c>
      <c r="G63" s="170">
        <v>4.4000000000000003E-3</v>
      </c>
      <c r="H63" s="168">
        <v>50</v>
      </c>
      <c r="I63" s="171">
        <v>8.7999999999999998E-5</v>
      </c>
      <c r="J63" s="167">
        <v>0.05</v>
      </c>
      <c r="K63" s="168" t="s">
        <v>46</v>
      </c>
      <c r="L63" s="169" t="s">
        <v>52</v>
      </c>
    </row>
    <row r="64" spans="1:12">
      <c r="A64" s="164">
        <v>2148</v>
      </c>
      <c r="B64" s="165" t="s">
        <v>79</v>
      </c>
      <c r="C64" s="166" t="s">
        <v>225</v>
      </c>
      <c r="D64" s="167">
        <v>0.01</v>
      </c>
      <c r="E64" s="168">
        <v>1000</v>
      </c>
      <c r="F64" s="169">
        <v>1.0000000000000001E-5</v>
      </c>
      <c r="G64" s="172"/>
      <c r="H64" s="173"/>
      <c r="I64" s="171">
        <v>1.0000000000000001E-5</v>
      </c>
      <c r="J64" s="167">
        <v>0.05</v>
      </c>
      <c r="K64" s="168" t="s">
        <v>46</v>
      </c>
      <c r="L64" s="169" t="s">
        <v>52</v>
      </c>
    </row>
    <row r="65" spans="1:12">
      <c r="A65" s="164">
        <v>2149</v>
      </c>
      <c r="B65" s="165" t="s">
        <v>79</v>
      </c>
      <c r="C65" s="166" t="s">
        <v>98</v>
      </c>
      <c r="D65" s="167">
        <v>1</v>
      </c>
      <c r="E65" s="168">
        <v>10000</v>
      </c>
      <c r="F65" s="169">
        <v>1E-4</v>
      </c>
      <c r="G65" s="172"/>
      <c r="H65" s="173"/>
      <c r="I65" s="171">
        <v>1E-4</v>
      </c>
      <c r="J65" s="167">
        <v>0.5</v>
      </c>
      <c r="K65" s="168" t="s">
        <v>66</v>
      </c>
      <c r="L65" s="169" t="s">
        <v>52</v>
      </c>
    </row>
    <row r="66" spans="1:12">
      <c r="A66" s="164">
        <v>2150</v>
      </c>
      <c r="B66" s="165" t="s">
        <v>79</v>
      </c>
      <c r="C66" s="166" t="s">
        <v>99</v>
      </c>
      <c r="D66" s="167">
        <v>100</v>
      </c>
      <c r="E66" s="168">
        <v>1000</v>
      </c>
      <c r="F66" s="169">
        <v>0.1</v>
      </c>
      <c r="G66" s="170">
        <v>100</v>
      </c>
      <c r="H66" s="168">
        <v>50</v>
      </c>
      <c r="I66" s="171">
        <v>2</v>
      </c>
      <c r="J66" s="167">
        <v>0.5</v>
      </c>
      <c r="K66" s="168" t="s">
        <v>66</v>
      </c>
      <c r="L66" s="169" t="s">
        <v>52</v>
      </c>
    </row>
    <row r="67" spans="1:12">
      <c r="A67" s="164">
        <v>2151</v>
      </c>
      <c r="B67" s="165" t="s">
        <v>79</v>
      </c>
      <c r="C67" s="166" t="s">
        <v>100</v>
      </c>
      <c r="D67" s="167">
        <v>100</v>
      </c>
      <c r="E67" s="168">
        <v>1000</v>
      </c>
      <c r="F67" s="169">
        <v>0.1</v>
      </c>
      <c r="G67" s="172"/>
      <c r="H67" s="173"/>
      <c r="I67" s="171">
        <v>0.1</v>
      </c>
      <c r="J67" s="167">
        <v>0.5</v>
      </c>
      <c r="K67" s="168" t="s">
        <v>66</v>
      </c>
      <c r="L67" s="169" t="s">
        <v>52</v>
      </c>
    </row>
    <row r="68" spans="1:12">
      <c r="A68" s="164">
        <v>2152</v>
      </c>
      <c r="B68" s="165" t="s">
        <v>79</v>
      </c>
      <c r="C68" s="166" t="s">
        <v>101</v>
      </c>
      <c r="D68" s="167">
        <v>39</v>
      </c>
      <c r="E68" s="168">
        <v>1000</v>
      </c>
      <c r="F68" s="169">
        <v>3.9E-2</v>
      </c>
      <c r="G68" s="170">
        <v>3.2</v>
      </c>
      <c r="H68" s="168">
        <v>50</v>
      </c>
      <c r="I68" s="171">
        <v>6.4000000000000001E-2</v>
      </c>
      <c r="J68" s="167">
        <v>0.05</v>
      </c>
      <c r="K68" s="168" t="s">
        <v>46</v>
      </c>
      <c r="L68" s="169" t="s">
        <v>50</v>
      </c>
    </row>
    <row r="69" spans="1:12">
      <c r="A69" s="164">
        <v>2153</v>
      </c>
      <c r="B69" s="165" t="s">
        <v>79</v>
      </c>
      <c r="C69" s="166" t="s">
        <v>102</v>
      </c>
      <c r="D69" s="167">
        <v>100</v>
      </c>
      <c r="E69" s="168">
        <v>1000</v>
      </c>
      <c r="F69" s="169">
        <v>0.1</v>
      </c>
      <c r="G69" s="170">
        <v>100</v>
      </c>
      <c r="H69" s="168">
        <v>50</v>
      </c>
      <c r="I69" s="171">
        <v>2</v>
      </c>
      <c r="J69" s="167">
        <v>0.05</v>
      </c>
      <c r="K69" s="168" t="s">
        <v>46</v>
      </c>
      <c r="L69" s="169" t="s">
        <v>52</v>
      </c>
    </row>
    <row r="70" spans="1:12">
      <c r="A70" s="164">
        <v>2154</v>
      </c>
      <c r="B70" s="165" t="s">
        <v>79</v>
      </c>
      <c r="C70" s="166" t="s">
        <v>103</v>
      </c>
      <c r="D70" s="167">
        <v>12.1</v>
      </c>
      <c r="E70" s="168">
        <v>1000</v>
      </c>
      <c r="F70" s="169">
        <v>1.21E-2</v>
      </c>
      <c r="G70" s="170">
        <v>0.254</v>
      </c>
      <c r="H70" s="168">
        <v>10</v>
      </c>
      <c r="I70" s="171">
        <v>2.5399999999999999E-2</v>
      </c>
      <c r="J70" s="167">
        <v>0.05</v>
      </c>
      <c r="K70" s="168" t="s">
        <v>46</v>
      </c>
      <c r="L70" s="169" t="s">
        <v>50</v>
      </c>
    </row>
    <row r="71" spans="1:12">
      <c r="A71" s="164">
        <v>2155</v>
      </c>
      <c r="B71" s="165" t="s">
        <v>79</v>
      </c>
      <c r="C71" s="166" t="s">
        <v>290</v>
      </c>
      <c r="D71" s="167">
        <v>5</v>
      </c>
      <c r="E71" s="168">
        <v>1000</v>
      </c>
      <c r="F71" s="169">
        <v>5.0000000000000001E-3</v>
      </c>
      <c r="G71" s="170">
        <v>1.5</v>
      </c>
      <c r="H71" s="168">
        <v>10</v>
      </c>
      <c r="I71" s="171">
        <v>0.15</v>
      </c>
      <c r="J71" s="167">
        <v>0.05</v>
      </c>
      <c r="K71" s="168" t="s">
        <v>46</v>
      </c>
      <c r="L71" s="169" t="s">
        <v>50</v>
      </c>
    </row>
    <row r="72" spans="1:12">
      <c r="A72" s="164">
        <v>2156</v>
      </c>
      <c r="B72" s="165" t="s">
        <v>79</v>
      </c>
      <c r="C72" s="166" t="s">
        <v>291</v>
      </c>
      <c r="D72" s="167">
        <v>5</v>
      </c>
      <c r="E72" s="168">
        <v>1000</v>
      </c>
      <c r="F72" s="169">
        <v>5.0000000000000001E-3</v>
      </c>
      <c r="G72" s="170">
        <v>1.5</v>
      </c>
      <c r="H72" s="168">
        <v>10</v>
      </c>
      <c r="I72" s="171">
        <v>0.15</v>
      </c>
      <c r="J72" s="167">
        <v>0.05</v>
      </c>
      <c r="K72" s="168" t="s">
        <v>46</v>
      </c>
      <c r="L72" s="169" t="s">
        <v>50</v>
      </c>
    </row>
    <row r="73" spans="1:12">
      <c r="A73" s="164">
        <v>2157</v>
      </c>
      <c r="B73" s="165" t="s">
        <v>79</v>
      </c>
      <c r="C73" s="166" t="s">
        <v>292</v>
      </c>
      <c r="D73" s="167">
        <v>50</v>
      </c>
      <c r="E73" s="168">
        <v>1000</v>
      </c>
      <c r="F73" s="169">
        <v>0.05</v>
      </c>
      <c r="G73" s="170">
        <v>25</v>
      </c>
      <c r="H73" s="168">
        <v>10</v>
      </c>
      <c r="I73" s="171">
        <v>2.5</v>
      </c>
      <c r="J73" s="167">
        <v>0.05</v>
      </c>
      <c r="K73" s="168" t="s">
        <v>46</v>
      </c>
      <c r="L73" s="169" t="s">
        <v>50</v>
      </c>
    </row>
    <row r="74" spans="1:12">
      <c r="A74" s="164">
        <v>2158</v>
      </c>
      <c r="B74" s="165" t="s">
        <v>79</v>
      </c>
      <c r="C74" s="166" t="s">
        <v>293</v>
      </c>
      <c r="D74" s="167">
        <v>5</v>
      </c>
      <c r="E74" s="168">
        <v>1000</v>
      </c>
      <c r="F74" s="169">
        <v>5.0000000000000001E-3</v>
      </c>
      <c r="G74" s="170">
        <v>1.5</v>
      </c>
      <c r="H74" s="168">
        <v>10</v>
      </c>
      <c r="I74" s="171">
        <v>0.15</v>
      </c>
      <c r="J74" s="167">
        <v>0.05</v>
      </c>
      <c r="K74" s="168" t="s">
        <v>46</v>
      </c>
      <c r="L74" s="169" t="s">
        <v>52</v>
      </c>
    </row>
    <row r="75" spans="1:12">
      <c r="A75" s="164">
        <v>2159</v>
      </c>
      <c r="B75" s="165" t="s">
        <v>79</v>
      </c>
      <c r="C75" s="166" t="s">
        <v>104</v>
      </c>
      <c r="D75" s="167">
        <v>5</v>
      </c>
      <c r="E75" s="168">
        <v>1000</v>
      </c>
      <c r="F75" s="169">
        <v>5.0000000000000001E-3</v>
      </c>
      <c r="G75" s="170">
        <v>1.5</v>
      </c>
      <c r="H75" s="168">
        <v>10</v>
      </c>
      <c r="I75" s="171">
        <v>0.15</v>
      </c>
      <c r="J75" s="167">
        <v>0.05</v>
      </c>
      <c r="K75" s="168" t="s">
        <v>46</v>
      </c>
      <c r="L75" s="169" t="s">
        <v>52</v>
      </c>
    </row>
    <row r="76" spans="1:12">
      <c r="A76" s="164">
        <v>2160</v>
      </c>
      <c r="B76" s="165" t="s">
        <v>79</v>
      </c>
      <c r="C76" s="166" t="s">
        <v>105</v>
      </c>
      <c r="D76" s="167">
        <v>50</v>
      </c>
      <c r="E76" s="168">
        <v>1000</v>
      </c>
      <c r="F76" s="169">
        <v>0.05</v>
      </c>
      <c r="G76" s="170">
        <v>25</v>
      </c>
      <c r="H76" s="168">
        <v>10</v>
      </c>
      <c r="I76" s="171">
        <v>2.5</v>
      </c>
      <c r="J76" s="167">
        <v>0.05</v>
      </c>
      <c r="K76" s="168" t="s">
        <v>46</v>
      </c>
      <c r="L76" s="169" t="s">
        <v>52</v>
      </c>
    </row>
    <row r="77" spans="1:12">
      <c r="A77" s="164">
        <v>2161</v>
      </c>
      <c r="B77" s="165" t="s">
        <v>79</v>
      </c>
      <c r="C77" s="166" t="s">
        <v>106</v>
      </c>
      <c r="D77" s="167">
        <v>0.43</v>
      </c>
      <c r="E77" s="168">
        <v>1000</v>
      </c>
      <c r="F77" s="169">
        <v>4.2999999999999999E-4</v>
      </c>
      <c r="G77" s="170">
        <v>0.28999999999999998</v>
      </c>
      <c r="H77" s="168">
        <v>10</v>
      </c>
      <c r="I77" s="171">
        <v>2.9000000000000001E-2</v>
      </c>
      <c r="J77" s="167">
        <v>0.05</v>
      </c>
      <c r="K77" s="168" t="s">
        <v>46</v>
      </c>
      <c r="L77" s="169" t="s">
        <v>50</v>
      </c>
    </row>
    <row r="78" spans="1:12">
      <c r="A78" s="164">
        <v>2162</v>
      </c>
      <c r="B78" s="165" t="s">
        <v>79</v>
      </c>
      <c r="C78" s="166" t="s">
        <v>107</v>
      </c>
      <c r="D78" s="167">
        <v>0.43</v>
      </c>
      <c r="E78" s="168">
        <v>1000</v>
      </c>
      <c r="F78" s="169">
        <v>4.2999999999999999E-4</v>
      </c>
      <c r="G78" s="170">
        <v>0.37</v>
      </c>
      <c r="H78" s="168">
        <v>10</v>
      </c>
      <c r="I78" s="171">
        <v>3.6999999999999998E-2</v>
      </c>
      <c r="J78" s="167">
        <v>0.05</v>
      </c>
      <c r="K78" s="168" t="s">
        <v>46</v>
      </c>
      <c r="L78" s="169" t="s">
        <v>50</v>
      </c>
    </row>
    <row r="79" spans="1:12">
      <c r="A79" s="164">
        <v>2163</v>
      </c>
      <c r="B79" s="165" t="s">
        <v>79</v>
      </c>
      <c r="C79" s="166" t="s">
        <v>108</v>
      </c>
      <c r="D79" s="167">
        <v>0.4</v>
      </c>
      <c r="E79" s="168">
        <v>1000</v>
      </c>
      <c r="F79" s="169">
        <v>4.0000000000000002E-4</v>
      </c>
      <c r="G79" s="170">
        <v>0.27</v>
      </c>
      <c r="H79" s="168">
        <v>10</v>
      </c>
      <c r="I79" s="171">
        <v>2.7E-2</v>
      </c>
      <c r="J79" s="167">
        <v>0.05</v>
      </c>
      <c r="K79" s="168" t="s">
        <v>46</v>
      </c>
      <c r="L79" s="169" t="s">
        <v>50</v>
      </c>
    </row>
    <row r="80" spans="1:12">
      <c r="A80" s="164">
        <v>2164</v>
      </c>
      <c r="B80" s="165" t="s">
        <v>79</v>
      </c>
      <c r="C80" s="166" t="s">
        <v>109</v>
      </c>
      <c r="D80" s="184"/>
      <c r="E80" s="173"/>
      <c r="F80" s="169">
        <v>0.01</v>
      </c>
      <c r="G80" s="170">
        <v>0.1</v>
      </c>
      <c r="H80" s="168">
        <v>10</v>
      </c>
      <c r="I80" s="171">
        <v>0.01</v>
      </c>
      <c r="J80" s="167">
        <v>0.05</v>
      </c>
      <c r="K80" s="168" t="s">
        <v>46</v>
      </c>
      <c r="L80" s="169" t="s">
        <v>50</v>
      </c>
    </row>
    <row r="81" spans="1:12">
      <c r="A81" s="164">
        <v>2165</v>
      </c>
      <c r="B81" s="165" t="s">
        <v>79</v>
      </c>
      <c r="C81" s="166" t="s">
        <v>294</v>
      </c>
      <c r="D81" s="167">
        <v>0.4</v>
      </c>
      <c r="E81" s="168">
        <v>1000</v>
      </c>
      <c r="F81" s="169">
        <v>4.0000000000000002E-4</v>
      </c>
      <c r="G81" s="170">
        <v>0.12</v>
      </c>
      <c r="H81" s="168">
        <v>10</v>
      </c>
      <c r="I81" s="171">
        <v>1.2E-2</v>
      </c>
      <c r="J81" s="167">
        <v>0.05</v>
      </c>
      <c r="K81" s="168" t="s">
        <v>46</v>
      </c>
      <c r="L81" s="169" t="s">
        <v>50</v>
      </c>
    </row>
    <row r="82" spans="1:12">
      <c r="A82" s="164">
        <v>2166</v>
      </c>
      <c r="B82" s="165" t="s">
        <v>79</v>
      </c>
      <c r="C82" s="166" t="s">
        <v>110</v>
      </c>
      <c r="D82" s="167">
        <v>0.7</v>
      </c>
      <c r="E82" s="168">
        <v>1000</v>
      </c>
      <c r="F82" s="169">
        <v>6.9999999999999999E-4</v>
      </c>
      <c r="G82" s="170">
        <v>4.8600000000000003</v>
      </c>
      <c r="H82" s="168">
        <v>10</v>
      </c>
      <c r="I82" s="171">
        <v>0.48599999999999999</v>
      </c>
      <c r="J82" s="167">
        <v>0.05</v>
      </c>
      <c r="K82" s="168" t="s">
        <v>46</v>
      </c>
      <c r="L82" s="169" t="s">
        <v>50</v>
      </c>
    </row>
    <row r="83" spans="1:12">
      <c r="A83" s="164">
        <v>2167</v>
      </c>
      <c r="B83" s="165" t="s">
        <v>79</v>
      </c>
      <c r="C83" s="166" t="s">
        <v>111</v>
      </c>
      <c r="D83" s="167">
        <v>13</v>
      </c>
      <c r="E83" s="168">
        <v>1000</v>
      </c>
      <c r="F83" s="169">
        <v>1.2999999999999999E-2</v>
      </c>
      <c r="G83" s="170">
        <v>4.8600000000000003</v>
      </c>
      <c r="H83" s="168">
        <v>10</v>
      </c>
      <c r="I83" s="171">
        <v>0.48599999999999999</v>
      </c>
      <c r="J83" s="167">
        <v>0.05</v>
      </c>
      <c r="K83" s="168" t="s">
        <v>46</v>
      </c>
      <c r="L83" s="169" t="s">
        <v>52</v>
      </c>
    </row>
    <row r="84" spans="1:12">
      <c r="A84" s="164">
        <v>2168</v>
      </c>
      <c r="B84" s="165" t="s">
        <v>79</v>
      </c>
      <c r="C84" s="166" t="s">
        <v>112</v>
      </c>
      <c r="D84" s="167">
        <v>130</v>
      </c>
      <c r="E84" s="168">
        <v>1000</v>
      </c>
      <c r="F84" s="169">
        <v>0.13</v>
      </c>
      <c r="G84" s="170">
        <v>56</v>
      </c>
      <c r="H84" s="168">
        <v>10</v>
      </c>
      <c r="I84" s="171">
        <v>5.6</v>
      </c>
      <c r="J84" s="167">
        <v>0.05</v>
      </c>
      <c r="K84" s="168" t="s">
        <v>46</v>
      </c>
      <c r="L84" s="169" t="s">
        <v>52</v>
      </c>
    </row>
    <row r="85" spans="1:12">
      <c r="A85" s="164">
        <v>2170</v>
      </c>
      <c r="B85" s="165" t="s">
        <v>79</v>
      </c>
      <c r="C85" s="166" t="s">
        <v>113</v>
      </c>
      <c r="D85" s="167">
        <v>0.3</v>
      </c>
      <c r="E85" s="168">
        <v>1000</v>
      </c>
      <c r="F85" s="169">
        <v>2.9999999999999997E-4</v>
      </c>
      <c r="G85" s="170">
        <v>0.47</v>
      </c>
      <c r="H85" s="168">
        <v>10</v>
      </c>
      <c r="I85" s="171">
        <v>4.7E-2</v>
      </c>
      <c r="J85" s="167">
        <v>0.05</v>
      </c>
      <c r="K85" s="168" t="s">
        <v>46</v>
      </c>
      <c r="L85" s="169" t="s">
        <v>50</v>
      </c>
    </row>
    <row r="86" spans="1:12">
      <c r="A86" s="164">
        <v>2171</v>
      </c>
      <c r="B86" s="165" t="s">
        <v>79</v>
      </c>
      <c r="C86" s="166" t="s">
        <v>114</v>
      </c>
      <c r="D86" s="167">
        <v>1</v>
      </c>
      <c r="E86" s="168">
        <v>1000</v>
      </c>
      <c r="F86" s="169">
        <v>1E-3</v>
      </c>
      <c r="G86" s="170">
        <v>0.2</v>
      </c>
      <c r="H86" s="168">
        <v>10</v>
      </c>
      <c r="I86" s="171">
        <v>0.02</v>
      </c>
      <c r="J86" s="167">
        <v>0.05</v>
      </c>
      <c r="K86" s="168" t="s">
        <v>46</v>
      </c>
      <c r="L86" s="169" t="s">
        <v>52</v>
      </c>
    </row>
    <row r="87" spans="1:12">
      <c r="A87" s="164">
        <v>2172</v>
      </c>
      <c r="B87" s="165" t="s">
        <v>79</v>
      </c>
      <c r="C87" s="166" t="s">
        <v>115</v>
      </c>
      <c r="D87" s="167">
        <v>1</v>
      </c>
      <c r="E87" s="168">
        <v>1000</v>
      </c>
      <c r="F87" s="169">
        <v>1E-3</v>
      </c>
      <c r="G87" s="170">
        <v>0.39</v>
      </c>
      <c r="H87" s="168">
        <v>10</v>
      </c>
      <c r="I87" s="171">
        <v>3.9E-2</v>
      </c>
      <c r="J87" s="167">
        <v>0.05</v>
      </c>
      <c r="K87" s="168" t="s">
        <v>46</v>
      </c>
      <c r="L87" s="169" t="s">
        <v>50</v>
      </c>
    </row>
    <row r="88" spans="1:12">
      <c r="A88" s="164">
        <v>2173</v>
      </c>
      <c r="B88" s="165" t="s">
        <v>79</v>
      </c>
      <c r="C88" s="166" t="s">
        <v>116</v>
      </c>
      <c r="D88" s="167">
        <v>1</v>
      </c>
      <c r="E88" s="168">
        <v>1000</v>
      </c>
      <c r="F88" s="169">
        <v>1E-3</v>
      </c>
      <c r="G88" s="170">
        <v>1.52</v>
      </c>
      <c r="H88" s="168">
        <v>10</v>
      </c>
      <c r="I88" s="171">
        <v>0.152</v>
      </c>
      <c r="J88" s="167">
        <v>0.05</v>
      </c>
      <c r="K88" s="168" t="s">
        <v>46</v>
      </c>
      <c r="L88" s="169" t="s">
        <v>52</v>
      </c>
    </row>
    <row r="89" spans="1:12">
      <c r="A89" s="164">
        <v>2174</v>
      </c>
      <c r="B89" s="165" t="s">
        <v>79</v>
      </c>
      <c r="C89" s="166" t="s">
        <v>117</v>
      </c>
      <c r="D89" s="184"/>
      <c r="E89" s="173"/>
      <c r="F89" s="169">
        <v>5.4000000000000003E-3</v>
      </c>
      <c r="G89" s="170">
        <v>5.3999999999999999E-2</v>
      </c>
      <c r="H89" s="168">
        <v>10</v>
      </c>
      <c r="I89" s="171">
        <v>5.4000000000000003E-3</v>
      </c>
      <c r="J89" s="167">
        <v>0.05</v>
      </c>
      <c r="K89" s="168" t="s">
        <v>46</v>
      </c>
      <c r="L89" s="169" t="s">
        <v>52</v>
      </c>
    </row>
    <row r="90" spans="1:12">
      <c r="A90" s="164">
        <v>2175</v>
      </c>
      <c r="B90" s="165" t="s">
        <v>79</v>
      </c>
      <c r="C90" s="166" t="s">
        <v>118</v>
      </c>
      <c r="D90" s="167">
        <v>3.2</v>
      </c>
      <c r="E90" s="168">
        <v>1000</v>
      </c>
      <c r="F90" s="169">
        <v>3.2000000000000002E-3</v>
      </c>
      <c r="G90" s="170">
        <v>8.2000000000000003E-2</v>
      </c>
      <c r="H90" s="168">
        <v>10</v>
      </c>
      <c r="I90" s="171">
        <v>8.2000000000000007E-3</v>
      </c>
      <c r="J90" s="167">
        <v>0.05</v>
      </c>
      <c r="K90" s="168" t="s">
        <v>46</v>
      </c>
      <c r="L90" s="169" t="s">
        <v>50</v>
      </c>
    </row>
    <row r="91" spans="1:12">
      <c r="A91" s="164">
        <v>2176</v>
      </c>
      <c r="B91" s="165" t="s">
        <v>79</v>
      </c>
      <c r="C91" s="166" t="s">
        <v>119</v>
      </c>
      <c r="D91" s="167">
        <v>0.72</v>
      </c>
      <c r="E91" s="168">
        <v>1000</v>
      </c>
      <c r="F91" s="169">
        <v>7.2000000000000005E-4</v>
      </c>
      <c r="G91" s="170">
        <v>0.11</v>
      </c>
      <c r="H91" s="168">
        <v>10</v>
      </c>
      <c r="I91" s="171">
        <v>1.0999999999999999E-2</v>
      </c>
      <c r="J91" s="167">
        <v>0.05</v>
      </c>
      <c r="K91" s="168" t="s">
        <v>46</v>
      </c>
      <c r="L91" s="169" t="s">
        <v>50</v>
      </c>
    </row>
    <row r="92" spans="1:12">
      <c r="A92" s="164">
        <v>2177</v>
      </c>
      <c r="B92" s="165" t="s">
        <v>79</v>
      </c>
      <c r="C92" s="166" t="s">
        <v>120</v>
      </c>
      <c r="D92" s="167">
        <v>4.0999999999999996</v>
      </c>
      <c r="E92" s="168">
        <v>1000</v>
      </c>
      <c r="F92" s="169">
        <v>4.1000000000000003E-3</v>
      </c>
      <c r="G92" s="170">
        <v>28.6</v>
      </c>
      <c r="H92" s="168">
        <v>10</v>
      </c>
      <c r="I92" s="171">
        <v>2.86</v>
      </c>
      <c r="J92" s="167">
        <v>0.05</v>
      </c>
      <c r="K92" s="168" t="s">
        <v>46</v>
      </c>
      <c r="L92" s="169" t="s">
        <v>50</v>
      </c>
    </row>
    <row r="93" spans="1:12">
      <c r="A93" s="164">
        <v>2178</v>
      </c>
      <c r="B93" s="165" t="s">
        <v>79</v>
      </c>
      <c r="C93" s="166" t="s">
        <v>121</v>
      </c>
      <c r="D93" s="167">
        <v>30</v>
      </c>
      <c r="E93" s="168">
        <v>1000</v>
      </c>
      <c r="F93" s="169">
        <v>0.03</v>
      </c>
      <c r="G93" s="172"/>
      <c r="H93" s="173"/>
      <c r="I93" s="171">
        <v>0.03</v>
      </c>
      <c r="J93" s="167">
        <v>0.05</v>
      </c>
      <c r="K93" s="168" t="s">
        <v>46</v>
      </c>
      <c r="L93" s="169" t="s">
        <v>50</v>
      </c>
    </row>
    <row r="94" spans="1:12" ht="13.5" thickBot="1">
      <c r="A94" s="176">
        <v>2179</v>
      </c>
      <c r="B94" s="177" t="s">
        <v>79</v>
      </c>
      <c r="C94" s="178" t="s">
        <v>122</v>
      </c>
      <c r="D94" s="179">
        <v>1.3</v>
      </c>
      <c r="E94" s="180">
        <v>1000</v>
      </c>
      <c r="F94" s="181">
        <v>1.2999999999999999E-3</v>
      </c>
      <c r="G94" s="186"/>
      <c r="H94" s="187"/>
      <c r="I94" s="183">
        <v>1.2999999999999999E-3</v>
      </c>
      <c r="J94" s="179">
        <v>0.05</v>
      </c>
      <c r="K94" s="180" t="s">
        <v>46</v>
      </c>
      <c r="L94" s="181" t="s">
        <v>52</v>
      </c>
    </row>
    <row r="95" spans="1:12">
      <c r="A95" s="156">
        <v>2201</v>
      </c>
      <c r="B95" s="157" t="s">
        <v>123</v>
      </c>
      <c r="C95" s="158" t="s">
        <v>124</v>
      </c>
      <c r="D95" s="159">
        <v>1.7</v>
      </c>
      <c r="E95" s="160">
        <v>1000</v>
      </c>
      <c r="F95" s="188">
        <v>1.6999999999999999E-3</v>
      </c>
      <c r="G95" s="162">
        <v>0.13500000000000001</v>
      </c>
      <c r="H95" s="160">
        <v>10</v>
      </c>
      <c r="I95" s="163">
        <v>1.35E-2</v>
      </c>
      <c r="J95" s="159">
        <v>0.05</v>
      </c>
      <c r="K95" s="160" t="s">
        <v>46</v>
      </c>
      <c r="L95" s="161" t="s">
        <v>50</v>
      </c>
    </row>
    <row r="96" spans="1:12">
      <c r="A96" s="164">
        <v>2202</v>
      </c>
      <c r="B96" s="165" t="s">
        <v>123</v>
      </c>
      <c r="C96" s="166" t="s">
        <v>125</v>
      </c>
      <c r="D96" s="167">
        <v>0.92500000000000004</v>
      </c>
      <c r="E96" s="168">
        <v>1000</v>
      </c>
      <c r="F96" s="189">
        <v>9.2500000000000004E-4</v>
      </c>
      <c r="G96" s="170">
        <v>0.13500000000000001</v>
      </c>
      <c r="H96" s="168">
        <v>10</v>
      </c>
      <c r="I96" s="171">
        <v>1.35E-2</v>
      </c>
      <c r="J96" s="167">
        <v>0.05</v>
      </c>
      <c r="K96" s="168" t="s">
        <v>46</v>
      </c>
      <c r="L96" s="169" t="s">
        <v>50</v>
      </c>
    </row>
    <row r="97" spans="1:12">
      <c r="A97" s="164">
        <v>2203</v>
      </c>
      <c r="B97" s="165" t="s">
        <v>123</v>
      </c>
      <c r="C97" s="166" t="s">
        <v>126</v>
      </c>
      <c r="D97" s="167">
        <v>0.3</v>
      </c>
      <c r="E97" s="168">
        <v>1000</v>
      </c>
      <c r="F97" s="189">
        <v>2.9999999999999997E-4</v>
      </c>
      <c r="G97" s="172"/>
      <c r="H97" s="173"/>
      <c r="I97" s="171">
        <v>2.9999999999999997E-4</v>
      </c>
      <c r="J97" s="167">
        <v>0.05</v>
      </c>
      <c r="K97" s="168" t="s">
        <v>46</v>
      </c>
      <c r="L97" s="169" t="s">
        <v>50</v>
      </c>
    </row>
    <row r="98" spans="1:12">
      <c r="A98" s="164">
        <v>2204</v>
      </c>
      <c r="B98" s="165" t="s">
        <v>123</v>
      </c>
      <c r="C98" s="166" t="s">
        <v>127</v>
      </c>
      <c r="D98" s="167">
        <v>3.4</v>
      </c>
      <c r="E98" s="168">
        <v>1000</v>
      </c>
      <c r="F98" s="189">
        <v>3.3999999999999998E-3</v>
      </c>
      <c r="G98" s="172"/>
      <c r="H98" s="173"/>
      <c r="I98" s="171">
        <v>3.3999999999999998E-3</v>
      </c>
      <c r="J98" s="167">
        <v>0.05</v>
      </c>
      <c r="K98" s="168" t="s">
        <v>46</v>
      </c>
      <c r="L98" s="169" t="s">
        <v>52</v>
      </c>
    </row>
    <row r="99" spans="1:12">
      <c r="A99" s="164">
        <v>2205</v>
      </c>
      <c r="B99" s="165" t="s">
        <v>123</v>
      </c>
      <c r="C99" s="166" t="s">
        <v>128</v>
      </c>
      <c r="D99" s="167">
        <v>0.68</v>
      </c>
      <c r="E99" s="168">
        <v>5000</v>
      </c>
      <c r="F99" s="189">
        <v>1.36E-4</v>
      </c>
      <c r="G99" s="170">
        <v>0.3</v>
      </c>
      <c r="H99" s="168">
        <v>10</v>
      </c>
      <c r="I99" s="171">
        <v>0.03</v>
      </c>
      <c r="J99" s="167">
        <v>0.05</v>
      </c>
      <c r="K99" s="168" t="s">
        <v>46</v>
      </c>
      <c r="L99" s="169" t="s">
        <v>52</v>
      </c>
    </row>
    <row r="100" spans="1:12">
      <c r="A100" s="164">
        <v>2206</v>
      </c>
      <c r="B100" s="165" t="s">
        <v>123</v>
      </c>
      <c r="C100" s="166" t="s">
        <v>129</v>
      </c>
      <c r="D100" s="167">
        <v>0.13400000000000001</v>
      </c>
      <c r="E100" s="168">
        <v>1000</v>
      </c>
      <c r="F100" s="189">
        <v>1.34E-4</v>
      </c>
      <c r="G100" s="170">
        <v>6.7000000000000004E-2</v>
      </c>
      <c r="H100" s="168">
        <v>10</v>
      </c>
      <c r="I100" s="171">
        <v>6.7000000000000002E-3</v>
      </c>
      <c r="J100" s="167">
        <v>0.05</v>
      </c>
      <c r="K100" s="168" t="s">
        <v>46</v>
      </c>
      <c r="L100" s="169" t="s">
        <v>52</v>
      </c>
    </row>
    <row r="101" spans="1:12" ht="13.5" thickBot="1">
      <c r="A101" s="176">
        <v>2207</v>
      </c>
      <c r="B101" s="177" t="s">
        <v>123</v>
      </c>
      <c r="C101" s="178" t="s">
        <v>130</v>
      </c>
      <c r="D101" s="179">
        <v>3.45</v>
      </c>
      <c r="E101" s="180">
        <v>1000</v>
      </c>
      <c r="F101" s="190">
        <v>3.4499999999999999E-3</v>
      </c>
      <c r="G101" s="186"/>
      <c r="H101" s="187"/>
      <c r="I101" s="183">
        <v>3.4499999999999999E-3</v>
      </c>
      <c r="J101" s="179">
        <v>0.05</v>
      </c>
      <c r="K101" s="180" t="s">
        <v>46</v>
      </c>
      <c r="L101" s="181" t="s">
        <v>50</v>
      </c>
    </row>
    <row r="102" spans="1:12" ht="25.5">
      <c r="A102" s="156">
        <v>2301</v>
      </c>
      <c r="B102" s="157" t="s">
        <v>131</v>
      </c>
      <c r="C102" s="158" t="s">
        <v>132</v>
      </c>
      <c r="D102" s="159">
        <v>0.08</v>
      </c>
      <c r="E102" s="160">
        <v>1000</v>
      </c>
      <c r="F102" s="161">
        <v>8.0000000000000007E-5</v>
      </c>
      <c r="G102" s="162">
        <v>6.7999999999999996E-3</v>
      </c>
      <c r="H102" s="160">
        <v>10</v>
      </c>
      <c r="I102" s="163">
        <v>6.8000000000000005E-4</v>
      </c>
      <c r="J102" s="159">
        <v>0.05</v>
      </c>
      <c r="K102" s="160" t="s">
        <v>46</v>
      </c>
      <c r="L102" s="161" t="s">
        <v>52</v>
      </c>
    </row>
    <row r="103" spans="1:12">
      <c r="A103" s="164">
        <v>2302</v>
      </c>
      <c r="B103" s="165" t="s">
        <v>131</v>
      </c>
      <c r="C103" s="166" t="s">
        <v>133</v>
      </c>
      <c r="D103" s="167">
        <v>0.05</v>
      </c>
      <c r="E103" s="168">
        <v>1000</v>
      </c>
      <c r="F103" s="169">
        <v>5.0000000000000002E-5</v>
      </c>
      <c r="G103" s="170">
        <v>2.5000000000000001E-2</v>
      </c>
      <c r="H103" s="168">
        <v>10</v>
      </c>
      <c r="I103" s="171">
        <v>2.5000000000000001E-3</v>
      </c>
      <c r="J103" s="167">
        <v>0.05</v>
      </c>
      <c r="K103" s="168" t="s">
        <v>46</v>
      </c>
      <c r="L103" s="169" t="s">
        <v>52</v>
      </c>
    </row>
    <row r="104" spans="1:12">
      <c r="A104" s="164">
        <v>2303</v>
      </c>
      <c r="B104" s="165" t="s">
        <v>131</v>
      </c>
      <c r="C104" s="166" t="s">
        <v>134</v>
      </c>
      <c r="D104" s="167">
        <v>1.91</v>
      </c>
      <c r="E104" s="168">
        <v>1000</v>
      </c>
      <c r="F104" s="169">
        <v>1.91E-3</v>
      </c>
      <c r="G104" s="170">
        <v>1</v>
      </c>
      <c r="H104" s="168">
        <v>10</v>
      </c>
      <c r="I104" s="171">
        <v>0.1</v>
      </c>
      <c r="J104" s="167">
        <v>0.05</v>
      </c>
      <c r="K104" s="168" t="s">
        <v>46</v>
      </c>
      <c r="L104" s="169" t="s">
        <v>50</v>
      </c>
    </row>
    <row r="105" spans="1:12" ht="13.5" thickBot="1">
      <c r="A105" s="176">
        <v>2304</v>
      </c>
      <c r="B105" s="177" t="s">
        <v>131</v>
      </c>
      <c r="C105" s="178" t="s">
        <v>135</v>
      </c>
      <c r="D105" s="191"/>
      <c r="E105" s="187"/>
      <c r="F105" s="192"/>
      <c r="G105" s="182">
        <v>0.69</v>
      </c>
      <c r="H105" s="180">
        <v>50</v>
      </c>
      <c r="I105" s="183">
        <v>1.38E-2</v>
      </c>
      <c r="J105" s="179">
        <v>0.05</v>
      </c>
      <c r="K105" s="180" t="s">
        <v>46</v>
      </c>
      <c r="L105" s="181" t="s">
        <v>52</v>
      </c>
    </row>
    <row r="106" spans="1:12">
      <c r="A106" s="156">
        <v>2401</v>
      </c>
      <c r="B106" s="157" t="s">
        <v>136</v>
      </c>
      <c r="C106" s="158" t="s">
        <v>137</v>
      </c>
      <c r="D106" s="159">
        <v>0.11</v>
      </c>
      <c r="E106" s="160">
        <v>1000</v>
      </c>
      <c r="F106" s="161">
        <v>1.1E-4</v>
      </c>
      <c r="G106" s="162">
        <v>0.04</v>
      </c>
      <c r="H106" s="160">
        <v>10</v>
      </c>
      <c r="I106" s="163">
        <v>4.0000000000000001E-3</v>
      </c>
      <c r="J106" s="159">
        <v>0.5</v>
      </c>
      <c r="K106" s="160" t="s">
        <v>66</v>
      </c>
      <c r="L106" s="161" t="s">
        <v>47</v>
      </c>
    </row>
    <row r="107" spans="1:12">
      <c r="A107" s="164">
        <v>2402</v>
      </c>
      <c r="B107" s="165" t="s">
        <v>136</v>
      </c>
      <c r="C107" s="166" t="s">
        <v>226</v>
      </c>
      <c r="D107" s="167">
        <v>295</v>
      </c>
      <c r="E107" s="168">
        <v>1000</v>
      </c>
      <c r="F107" s="169">
        <v>0.29499999999999998</v>
      </c>
      <c r="G107" s="170">
        <v>51</v>
      </c>
      <c r="H107" s="168">
        <v>50</v>
      </c>
      <c r="I107" s="171">
        <v>1.02</v>
      </c>
      <c r="J107" s="167">
        <v>0.05</v>
      </c>
      <c r="K107" s="168" t="s">
        <v>46</v>
      </c>
      <c r="L107" s="169" t="s">
        <v>50</v>
      </c>
    </row>
    <row r="108" spans="1:12">
      <c r="A108" s="164">
        <v>2403</v>
      </c>
      <c r="B108" s="165" t="s">
        <v>136</v>
      </c>
      <c r="C108" s="166" t="s">
        <v>138</v>
      </c>
      <c r="D108" s="167">
        <v>0.4</v>
      </c>
      <c r="E108" s="168">
        <v>5000</v>
      </c>
      <c r="F108" s="169">
        <v>8.0000000000000007E-5</v>
      </c>
      <c r="G108" s="172"/>
      <c r="H108" s="173"/>
      <c r="I108" s="171">
        <v>8.0000000000000007E-5</v>
      </c>
      <c r="J108" s="167">
        <v>1</v>
      </c>
      <c r="K108" s="168" t="s">
        <v>139</v>
      </c>
      <c r="L108" s="169" t="s">
        <v>52</v>
      </c>
    </row>
    <row r="109" spans="1:12">
      <c r="A109" s="164">
        <v>2404</v>
      </c>
      <c r="B109" s="165" t="s">
        <v>136</v>
      </c>
      <c r="C109" s="166" t="s">
        <v>140</v>
      </c>
      <c r="D109" s="167">
        <v>0.78</v>
      </c>
      <c r="E109" s="168">
        <v>1000</v>
      </c>
      <c r="F109" s="169">
        <v>7.7999999999999999E-4</v>
      </c>
      <c r="G109" s="170">
        <v>0.1</v>
      </c>
      <c r="H109" s="168">
        <v>10</v>
      </c>
      <c r="I109" s="171">
        <v>0.01</v>
      </c>
      <c r="J109" s="167">
        <v>0.15</v>
      </c>
      <c r="K109" s="168" t="s">
        <v>46</v>
      </c>
      <c r="L109" s="169" t="s">
        <v>52</v>
      </c>
    </row>
    <row r="110" spans="1:12">
      <c r="A110" s="164">
        <v>2405</v>
      </c>
      <c r="B110" s="165" t="s">
        <v>136</v>
      </c>
      <c r="C110" s="166" t="s">
        <v>227</v>
      </c>
      <c r="D110" s="167">
        <v>4.8099999999999996</v>
      </c>
      <c r="E110" s="168">
        <v>1000</v>
      </c>
      <c r="F110" s="169">
        <v>4.7999999999999996E-3</v>
      </c>
      <c r="G110" s="172"/>
      <c r="H110" s="173"/>
      <c r="I110" s="171">
        <v>4.7999999999999996E-3</v>
      </c>
      <c r="J110" s="167">
        <v>0.05</v>
      </c>
      <c r="K110" s="168" t="s">
        <v>46</v>
      </c>
      <c r="L110" s="169" t="s">
        <v>52</v>
      </c>
    </row>
    <row r="111" spans="1:12">
      <c r="A111" s="164">
        <v>2406</v>
      </c>
      <c r="B111" s="165" t="s">
        <v>136</v>
      </c>
      <c r="C111" s="166" t="s">
        <v>228</v>
      </c>
      <c r="D111" s="167">
        <v>35</v>
      </c>
      <c r="E111" s="168">
        <v>5000</v>
      </c>
      <c r="F111" s="169">
        <v>7.0000000000000001E-3</v>
      </c>
      <c r="G111" s="172"/>
      <c r="H111" s="173"/>
      <c r="I111" s="171">
        <v>7.0000000000000001E-3</v>
      </c>
      <c r="J111" s="167">
        <v>1</v>
      </c>
      <c r="K111" s="168" t="s">
        <v>139</v>
      </c>
      <c r="L111" s="169" t="s">
        <v>52</v>
      </c>
    </row>
    <row r="112" spans="1:12">
      <c r="A112" s="164">
        <v>2407</v>
      </c>
      <c r="B112" s="165" t="s">
        <v>136</v>
      </c>
      <c r="C112" s="166" t="s">
        <v>229</v>
      </c>
      <c r="D112" s="167">
        <v>2</v>
      </c>
      <c r="E112" s="168">
        <v>1000</v>
      </c>
      <c r="F112" s="169">
        <v>2E-3</v>
      </c>
      <c r="G112" s="172"/>
      <c r="H112" s="173"/>
      <c r="I112" s="171">
        <v>2E-3</v>
      </c>
      <c r="J112" s="167">
        <v>0.05</v>
      </c>
      <c r="K112" s="168" t="s">
        <v>46</v>
      </c>
      <c r="L112" s="169" t="s">
        <v>52</v>
      </c>
    </row>
    <row r="113" spans="1:12">
      <c r="A113" s="164">
        <v>2408</v>
      </c>
      <c r="B113" s="165" t="s">
        <v>136</v>
      </c>
      <c r="C113" s="166" t="s">
        <v>230</v>
      </c>
      <c r="D113" s="167">
        <v>0.375</v>
      </c>
      <c r="E113" s="168">
        <v>1000</v>
      </c>
      <c r="F113" s="169">
        <v>3.7500000000000001E-4</v>
      </c>
      <c r="G113" s="170">
        <v>2.23E-2</v>
      </c>
      <c r="H113" s="168">
        <v>10</v>
      </c>
      <c r="I113" s="171">
        <v>2.2300000000000002E-3</v>
      </c>
      <c r="J113" s="167">
        <v>0.05</v>
      </c>
      <c r="K113" s="168" t="s">
        <v>46</v>
      </c>
      <c r="L113" s="169" t="s">
        <v>52</v>
      </c>
    </row>
    <row r="114" spans="1:12">
      <c r="A114" s="164">
        <v>2410</v>
      </c>
      <c r="B114" s="165" t="s">
        <v>136</v>
      </c>
      <c r="C114" s="166" t="s">
        <v>141</v>
      </c>
      <c r="D114" s="167">
        <v>4.8000000000000001E-2</v>
      </c>
      <c r="E114" s="168">
        <v>1000</v>
      </c>
      <c r="F114" s="169">
        <v>4.8000000000000001E-5</v>
      </c>
      <c r="G114" s="170">
        <v>1.1999999999999999E-3</v>
      </c>
      <c r="H114" s="168">
        <v>10</v>
      </c>
      <c r="I114" s="171">
        <v>1.2E-4</v>
      </c>
      <c r="J114" s="167">
        <v>0.5</v>
      </c>
      <c r="K114" s="168" t="s">
        <v>66</v>
      </c>
      <c r="L114" s="169" t="s">
        <v>52</v>
      </c>
    </row>
    <row r="115" spans="1:12">
      <c r="A115" s="164">
        <v>2411</v>
      </c>
      <c r="B115" s="165" t="s">
        <v>136</v>
      </c>
      <c r="C115" s="166" t="s">
        <v>142</v>
      </c>
      <c r="D115" s="167">
        <v>0.16</v>
      </c>
      <c r="E115" s="168">
        <v>1000</v>
      </c>
      <c r="F115" s="169">
        <v>1.6000000000000001E-4</v>
      </c>
      <c r="G115" s="170">
        <v>0.03</v>
      </c>
      <c r="H115" s="168">
        <v>10</v>
      </c>
      <c r="I115" s="171">
        <v>3.0000000000000001E-3</v>
      </c>
      <c r="J115" s="167">
        <v>0.5</v>
      </c>
      <c r="K115" s="168" t="s">
        <v>66</v>
      </c>
      <c r="L115" s="169" t="s">
        <v>52</v>
      </c>
    </row>
    <row r="116" spans="1:12">
      <c r="A116" s="164">
        <v>2412</v>
      </c>
      <c r="B116" s="165" t="s">
        <v>136</v>
      </c>
      <c r="C116" s="166" t="s">
        <v>143</v>
      </c>
      <c r="D116" s="167">
        <v>0.15</v>
      </c>
      <c r="E116" s="168">
        <v>1000</v>
      </c>
      <c r="F116" s="169">
        <v>1.4999999999999999E-4</v>
      </c>
      <c r="G116" s="172"/>
      <c r="H116" s="173"/>
      <c r="I116" s="171">
        <v>1.4999999999999999E-4</v>
      </c>
      <c r="J116" s="167">
        <v>0.05</v>
      </c>
      <c r="K116" s="168" t="s">
        <v>46</v>
      </c>
      <c r="L116" s="169" t="s">
        <v>52</v>
      </c>
    </row>
    <row r="117" spans="1:12">
      <c r="A117" s="164">
        <v>2413</v>
      </c>
      <c r="B117" s="165" t="s">
        <v>136</v>
      </c>
      <c r="C117" s="166" t="s">
        <v>144</v>
      </c>
      <c r="D117" s="167">
        <v>15.4</v>
      </c>
      <c r="E117" s="168">
        <v>5000</v>
      </c>
      <c r="F117" s="169">
        <v>3.0799999999999998E-3</v>
      </c>
      <c r="G117" s="172"/>
      <c r="H117" s="173"/>
      <c r="I117" s="171">
        <v>3.0799999999999998E-3</v>
      </c>
      <c r="J117" s="167">
        <v>0.05</v>
      </c>
      <c r="K117" s="168" t="s">
        <v>46</v>
      </c>
      <c r="L117" s="169" t="s">
        <v>47</v>
      </c>
    </row>
    <row r="118" spans="1:12">
      <c r="A118" s="164">
        <v>2414</v>
      </c>
      <c r="B118" s="165" t="s">
        <v>136</v>
      </c>
      <c r="C118" s="166" t="s">
        <v>231</v>
      </c>
      <c r="D118" s="167">
        <v>1.1000000000000001</v>
      </c>
      <c r="E118" s="168">
        <v>1000</v>
      </c>
      <c r="F118" s="169">
        <v>1.1000000000000001E-3</v>
      </c>
      <c r="G118" s="170">
        <v>8.9999999999999993E-3</v>
      </c>
      <c r="H118" s="168">
        <v>10</v>
      </c>
      <c r="I118" s="171">
        <v>8.9999999999999998E-4</v>
      </c>
      <c r="J118" s="167">
        <v>0.05</v>
      </c>
      <c r="K118" s="168" t="s">
        <v>46</v>
      </c>
      <c r="L118" s="169" t="s">
        <v>52</v>
      </c>
    </row>
    <row r="119" spans="1:12">
      <c r="A119" s="164">
        <v>2415</v>
      </c>
      <c r="B119" s="165" t="s">
        <v>136</v>
      </c>
      <c r="C119" s="166" t="s">
        <v>232</v>
      </c>
      <c r="D119" s="167">
        <v>24.8</v>
      </c>
      <c r="E119" s="168">
        <v>1000</v>
      </c>
      <c r="F119" s="169">
        <v>2.4799999999999999E-2</v>
      </c>
      <c r="G119" s="170">
        <v>0.09</v>
      </c>
      <c r="H119" s="168">
        <v>50</v>
      </c>
      <c r="I119" s="171">
        <v>1.8E-3</v>
      </c>
      <c r="J119" s="167">
        <v>0.05</v>
      </c>
      <c r="K119" s="168" t="s">
        <v>46</v>
      </c>
      <c r="L119" s="169" t="s">
        <v>50</v>
      </c>
    </row>
    <row r="120" spans="1:12">
      <c r="A120" s="164">
        <v>2416</v>
      </c>
      <c r="B120" s="165" t="s">
        <v>136</v>
      </c>
      <c r="C120" s="166" t="s">
        <v>145</v>
      </c>
      <c r="D120" s="167">
        <v>36.5</v>
      </c>
      <c r="E120" s="168">
        <v>5000</v>
      </c>
      <c r="F120" s="169">
        <v>7.3000000000000001E-3</v>
      </c>
      <c r="G120" s="172"/>
      <c r="H120" s="173"/>
      <c r="I120" s="171">
        <v>7.3000000000000001E-3</v>
      </c>
      <c r="J120" s="167">
        <v>1</v>
      </c>
      <c r="K120" s="168" t="s">
        <v>52</v>
      </c>
      <c r="L120" s="169" t="s">
        <v>52</v>
      </c>
    </row>
    <row r="121" spans="1:12">
      <c r="A121" s="164">
        <v>2418</v>
      </c>
      <c r="B121" s="165" t="s">
        <v>136</v>
      </c>
      <c r="C121" s="166" t="s">
        <v>233</v>
      </c>
      <c r="D121" s="167">
        <v>1.4E-3</v>
      </c>
      <c r="E121" s="168">
        <v>1000</v>
      </c>
      <c r="F121" s="185">
        <v>1.3999999999999999E-6</v>
      </c>
      <c r="G121" s="170">
        <v>6.8999999999999997E-4</v>
      </c>
      <c r="H121" s="168">
        <v>10</v>
      </c>
      <c r="I121" s="171">
        <v>6.8999999999999997E-5</v>
      </c>
      <c r="J121" s="167">
        <v>0.5</v>
      </c>
      <c r="K121" s="168" t="s">
        <v>66</v>
      </c>
      <c r="L121" s="169" t="s">
        <v>52</v>
      </c>
    </row>
    <row r="122" spans="1:12">
      <c r="A122" s="164">
        <v>2419</v>
      </c>
      <c r="B122" s="165" t="s">
        <v>136</v>
      </c>
      <c r="C122" s="166" t="s">
        <v>146</v>
      </c>
      <c r="D122" s="167">
        <v>291</v>
      </c>
      <c r="E122" s="168">
        <v>1000</v>
      </c>
      <c r="F122" s="169">
        <v>0.29099999999999998</v>
      </c>
      <c r="G122" s="170">
        <v>9.43</v>
      </c>
      <c r="H122" s="168">
        <v>10</v>
      </c>
      <c r="I122" s="171">
        <v>0.94299999999999995</v>
      </c>
      <c r="J122" s="167">
        <v>0.05</v>
      </c>
      <c r="K122" s="168" t="s">
        <v>46</v>
      </c>
      <c r="L122" s="169" t="s">
        <v>52</v>
      </c>
    </row>
    <row r="123" spans="1:12">
      <c r="A123" s="164">
        <v>2420</v>
      </c>
      <c r="B123" s="165" t="s">
        <v>136</v>
      </c>
      <c r="C123" s="166" t="s">
        <v>147</v>
      </c>
      <c r="D123" s="167">
        <v>24.1</v>
      </c>
      <c r="E123" s="168">
        <v>1000</v>
      </c>
      <c r="F123" s="169">
        <v>2.41E-2</v>
      </c>
      <c r="G123" s="172"/>
      <c r="H123" s="173"/>
      <c r="I123" s="171">
        <v>2.41E-2</v>
      </c>
      <c r="J123" s="167">
        <v>0.05</v>
      </c>
      <c r="K123" s="168" t="s">
        <v>46</v>
      </c>
      <c r="L123" s="169" t="s">
        <v>52</v>
      </c>
    </row>
    <row r="124" spans="1:12">
      <c r="A124" s="164">
        <v>2421</v>
      </c>
      <c r="B124" s="165" t="s">
        <v>136</v>
      </c>
      <c r="C124" s="166" t="s">
        <v>148</v>
      </c>
      <c r="D124" s="167">
        <v>2.7E-2</v>
      </c>
      <c r="E124" s="168">
        <v>1000</v>
      </c>
      <c r="F124" s="169">
        <v>2.6999999999999999E-5</v>
      </c>
      <c r="G124" s="170">
        <v>8.5000000000000006E-3</v>
      </c>
      <c r="H124" s="168">
        <v>50</v>
      </c>
      <c r="I124" s="171">
        <v>1.7000000000000001E-4</v>
      </c>
      <c r="J124" s="167">
        <v>0.05</v>
      </c>
      <c r="K124" s="168" t="s">
        <v>46</v>
      </c>
      <c r="L124" s="169" t="s">
        <v>52</v>
      </c>
    </row>
    <row r="125" spans="1:12" ht="13.5" thickBot="1">
      <c r="A125" s="176">
        <v>2422</v>
      </c>
      <c r="B125" s="177" t="s">
        <v>136</v>
      </c>
      <c r="C125" s="178" t="s">
        <v>149</v>
      </c>
      <c r="D125" s="179">
        <v>100</v>
      </c>
      <c r="E125" s="180">
        <v>1000</v>
      </c>
      <c r="F125" s="181">
        <v>0.1</v>
      </c>
      <c r="G125" s="186"/>
      <c r="H125" s="187"/>
      <c r="I125" s="183">
        <v>0.1</v>
      </c>
      <c r="J125" s="179">
        <v>0.05</v>
      </c>
      <c r="K125" s="180" t="s">
        <v>46</v>
      </c>
      <c r="L125" s="181" t="s">
        <v>52</v>
      </c>
    </row>
    <row r="126" spans="1:12">
      <c r="A126" s="156">
        <v>2502</v>
      </c>
      <c r="B126" s="157" t="s">
        <v>150</v>
      </c>
      <c r="C126" s="158" t="s">
        <v>234</v>
      </c>
      <c r="D126" s="159">
        <v>100</v>
      </c>
      <c r="E126" s="160">
        <v>1000</v>
      </c>
      <c r="F126" s="161">
        <v>0.1</v>
      </c>
      <c r="G126" s="162">
        <v>100</v>
      </c>
      <c r="H126" s="160">
        <v>10</v>
      </c>
      <c r="I126" s="163">
        <v>10</v>
      </c>
      <c r="J126" s="159">
        <v>1</v>
      </c>
      <c r="K126" s="160" t="s">
        <v>139</v>
      </c>
      <c r="L126" s="161" t="s">
        <v>52</v>
      </c>
    </row>
    <row r="127" spans="1:12">
      <c r="A127" s="164">
        <v>2503</v>
      </c>
      <c r="B127" s="165" t="s">
        <v>150</v>
      </c>
      <c r="C127" s="166" t="s">
        <v>235</v>
      </c>
      <c r="D127" s="167">
        <v>885</v>
      </c>
      <c r="E127" s="168">
        <v>5000</v>
      </c>
      <c r="F127" s="169">
        <v>0.17699999999999999</v>
      </c>
      <c r="G127" s="172"/>
      <c r="H127" s="173"/>
      <c r="I127" s="171">
        <v>0.17699999999999999</v>
      </c>
      <c r="J127" s="167">
        <v>0.05</v>
      </c>
      <c r="K127" s="168" t="s">
        <v>46</v>
      </c>
      <c r="L127" s="169" t="s">
        <v>50</v>
      </c>
    </row>
    <row r="128" spans="1:12">
      <c r="A128" s="164">
        <v>2504</v>
      </c>
      <c r="B128" s="165" t="s">
        <v>150</v>
      </c>
      <c r="C128" s="166" t="s">
        <v>236</v>
      </c>
      <c r="D128" s="167">
        <v>160</v>
      </c>
      <c r="E128" s="168">
        <v>1000</v>
      </c>
      <c r="F128" s="169">
        <v>0.16</v>
      </c>
      <c r="G128" s="172"/>
      <c r="H128" s="173"/>
      <c r="I128" s="171">
        <v>0.16</v>
      </c>
      <c r="J128" s="167">
        <v>0.05</v>
      </c>
      <c r="K128" s="168" t="s">
        <v>151</v>
      </c>
      <c r="L128" s="169" t="s">
        <v>151</v>
      </c>
    </row>
    <row r="129" spans="1:12">
      <c r="A129" s="164">
        <v>2505</v>
      </c>
      <c r="B129" s="165" t="s">
        <v>150</v>
      </c>
      <c r="C129" s="166" t="s">
        <v>237</v>
      </c>
      <c r="D129" s="167">
        <v>100</v>
      </c>
      <c r="E129" s="168">
        <v>1000</v>
      </c>
      <c r="F129" s="169">
        <v>0.1</v>
      </c>
      <c r="G129" s="170">
        <v>100</v>
      </c>
      <c r="H129" s="168">
        <v>50</v>
      </c>
      <c r="I129" s="171">
        <v>2</v>
      </c>
      <c r="J129" s="167">
        <v>1</v>
      </c>
      <c r="K129" s="168" t="s">
        <v>151</v>
      </c>
      <c r="L129" s="169" t="s">
        <v>151</v>
      </c>
    </row>
    <row r="130" spans="1:12">
      <c r="A130" s="164">
        <v>2506</v>
      </c>
      <c r="B130" s="165" t="s">
        <v>150</v>
      </c>
      <c r="C130" s="166" t="s">
        <v>238</v>
      </c>
      <c r="D130" s="167">
        <v>825</v>
      </c>
      <c r="E130" s="168">
        <v>1000</v>
      </c>
      <c r="F130" s="169">
        <v>0.82499999999999996</v>
      </c>
      <c r="G130" s="170">
        <v>80</v>
      </c>
      <c r="H130" s="168">
        <v>50</v>
      </c>
      <c r="I130" s="171">
        <v>1.6</v>
      </c>
      <c r="J130" s="167">
        <v>0.05</v>
      </c>
      <c r="K130" s="168" t="s">
        <v>46</v>
      </c>
      <c r="L130" s="169" t="s">
        <v>50</v>
      </c>
    </row>
    <row r="131" spans="1:12">
      <c r="A131" s="164">
        <v>2507</v>
      </c>
      <c r="B131" s="165" t="s">
        <v>150</v>
      </c>
      <c r="C131" s="166" t="s">
        <v>239</v>
      </c>
      <c r="D131" s="167">
        <v>40</v>
      </c>
      <c r="E131" s="168">
        <v>1000</v>
      </c>
      <c r="F131" s="169">
        <v>0.04</v>
      </c>
      <c r="G131" s="170">
        <v>12</v>
      </c>
      <c r="H131" s="168">
        <v>10</v>
      </c>
      <c r="I131" s="171">
        <v>1.2</v>
      </c>
      <c r="J131" s="167">
        <v>1</v>
      </c>
      <c r="K131" s="168" t="s">
        <v>139</v>
      </c>
      <c r="L131" s="169" t="s">
        <v>47</v>
      </c>
    </row>
    <row r="132" spans="1:12">
      <c r="A132" s="164">
        <v>2508</v>
      </c>
      <c r="B132" s="165" t="s">
        <v>150</v>
      </c>
      <c r="C132" s="166" t="s">
        <v>240</v>
      </c>
      <c r="D132" s="167">
        <v>100</v>
      </c>
      <c r="E132" s="168">
        <v>1000</v>
      </c>
      <c r="F132" s="169">
        <v>0.1</v>
      </c>
      <c r="G132" s="170">
        <v>5.8</v>
      </c>
      <c r="H132" s="168">
        <v>10</v>
      </c>
      <c r="I132" s="171">
        <v>0.57999999999999996</v>
      </c>
      <c r="J132" s="167">
        <v>1</v>
      </c>
      <c r="K132" s="168" t="s">
        <v>139</v>
      </c>
      <c r="L132" s="169" t="s">
        <v>47</v>
      </c>
    </row>
    <row r="133" spans="1:12">
      <c r="A133" s="164">
        <v>2509</v>
      </c>
      <c r="B133" s="165" t="s">
        <v>150</v>
      </c>
      <c r="C133" s="166" t="s">
        <v>152</v>
      </c>
      <c r="D133" s="167">
        <v>494</v>
      </c>
      <c r="E133" s="168">
        <v>1000</v>
      </c>
      <c r="F133" s="169">
        <v>0.49399999999999999</v>
      </c>
      <c r="G133" s="170">
        <v>64</v>
      </c>
      <c r="H133" s="168">
        <v>50</v>
      </c>
      <c r="I133" s="171">
        <v>1.28</v>
      </c>
      <c r="J133" s="167">
        <v>0.05</v>
      </c>
      <c r="K133" s="168" t="s">
        <v>46</v>
      </c>
      <c r="L133" s="169" t="s">
        <v>47</v>
      </c>
    </row>
    <row r="134" spans="1:12">
      <c r="A134" s="164">
        <v>2510</v>
      </c>
      <c r="B134" s="165" t="s">
        <v>150</v>
      </c>
      <c r="C134" s="166" t="s">
        <v>153</v>
      </c>
      <c r="D134" s="167">
        <v>100</v>
      </c>
      <c r="E134" s="168">
        <v>1000</v>
      </c>
      <c r="F134" s="169">
        <v>0.1</v>
      </c>
      <c r="G134" s="170">
        <v>100</v>
      </c>
      <c r="H134" s="168">
        <v>10</v>
      </c>
      <c r="I134" s="171">
        <v>10</v>
      </c>
      <c r="J134" s="167">
        <v>0.05</v>
      </c>
      <c r="K134" s="168" t="s">
        <v>46</v>
      </c>
      <c r="L134" s="169" t="s">
        <v>50</v>
      </c>
    </row>
    <row r="135" spans="1:12">
      <c r="A135" s="164">
        <v>2511</v>
      </c>
      <c r="B135" s="165" t="s">
        <v>150</v>
      </c>
      <c r="C135" s="166" t="s">
        <v>241</v>
      </c>
      <c r="D135" s="167">
        <v>121</v>
      </c>
      <c r="E135" s="168">
        <v>1000</v>
      </c>
      <c r="F135" s="169">
        <v>0.121</v>
      </c>
      <c r="G135" s="170">
        <v>22</v>
      </c>
      <c r="H135" s="168">
        <v>50</v>
      </c>
      <c r="I135" s="171">
        <v>0.44</v>
      </c>
      <c r="J135" s="167">
        <v>0.5</v>
      </c>
      <c r="K135" s="168" t="s">
        <v>66</v>
      </c>
      <c r="L135" s="169" t="s">
        <v>47</v>
      </c>
    </row>
    <row r="136" spans="1:12">
      <c r="A136" s="164">
        <v>2512</v>
      </c>
      <c r="B136" s="165" t="s">
        <v>150</v>
      </c>
      <c r="C136" s="166" t="s">
        <v>242</v>
      </c>
      <c r="D136" s="167">
        <v>650</v>
      </c>
      <c r="E136" s="168">
        <v>1000</v>
      </c>
      <c r="F136" s="169">
        <v>0.65</v>
      </c>
      <c r="G136" s="170">
        <v>25</v>
      </c>
      <c r="H136" s="168">
        <v>50</v>
      </c>
      <c r="I136" s="171">
        <v>0.5</v>
      </c>
      <c r="J136" s="167">
        <v>1</v>
      </c>
      <c r="K136" s="168" t="s">
        <v>139</v>
      </c>
      <c r="L136" s="169" t="s">
        <v>47</v>
      </c>
    </row>
    <row r="137" spans="1:12">
      <c r="A137" s="164">
        <v>2513</v>
      </c>
      <c r="B137" s="165" t="s">
        <v>150</v>
      </c>
      <c r="C137" s="166" t="s">
        <v>243</v>
      </c>
      <c r="D137" s="167">
        <v>5.5</v>
      </c>
      <c r="E137" s="168">
        <v>1000</v>
      </c>
      <c r="F137" s="169">
        <v>5.4999999999999997E-3</v>
      </c>
      <c r="G137" s="170">
        <v>0.66</v>
      </c>
      <c r="H137" s="168">
        <v>10</v>
      </c>
      <c r="I137" s="171">
        <v>6.6000000000000003E-2</v>
      </c>
      <c r="J137" s="167">
        <v>0.05</v>
      </c>
      <c r="K137" s="168" t="s">
        <v>46</v>
      </c>
      <c r="L137" s="169" t="s">
        <v>47</v>
      </c>
    </row>
    <row r="138" spans="1:12">
      <c r="A138" s="164">
        <v>2514</v>
      </c>
      <c r="B138" s="165" t="s">
        <v>150</v>
      </c>
      <c r="C138" s="166" t="s">
        <v>154</v>
      </c>
      <c r="D138" s="167">
        <v>1000</v>
      </c>
      <c r="E138" s="168">
        <v>1000</v>
      </c>
      <c r="F138" s="169">
        <v>1</v>
      </c>
      <c r="G138" s="170">
        <v>423</v>
      </c>
      <c r="H138" s="168">
        <v>10</v>
      </c>
      <c r="I138" s="171">
        <v>42.3</v>
      </c>
      <c r="J138" s="167">
        <v>0.5</v>
      </c>
      <c r="K138" s="168" t="s">
        <v>66</v>
      </c>
      <c r="L138" s="169" t="s">
        <v>47</v>
      </c>
    </row>
    <row r="139" spans="1:12">
      <c r="A139" s="164">
        <v>2515</v>
      </c>
      <c r="B139" s="165" t="s">
        <v>150</v>
      </c>
      <c r="C139" s="166" t="s">
        <v>244</v>
      </c>
      <c r="D139" s="184"/>
      <c r="E139" s="173"/>
      <c r="F139" s="169">
        <v>10</v>
      </c>
      <c r="G139" s="172"/>
      <c r="H139" s="173"/>
      <c r="I139" s="171">
        <v>10</v>
      </c>
      <c r="J139" s="167">
        <v>1</v>
      </c>
      <c r="K139" s="168" t="s">
        <v>151</v>
      </c>
      <c r="L139" s="169" t="s">
        <v>151</v>
      </c>
    </row>
    <row r="140" spans="1:12">
      <c r="A140" s="164">
        <v>2516</v>
      </c>
      <c r="B140" s="165" t="s">
        <v>150</v>
      </c>
      <c r="C140" s="166" t="s">
        <v>245</v>
      </c>
      <c r="D140" s="184"/>
      <c r="E140" s="173"/>
      <c r="F140" s="169">
        <v>10</v>
      </c>
      <c r="G140" s="172"/>
      <c r="H140" s="173"/>
      <c r="I140" s="171">
        <v>10</v>
      </c>
      <c r="J140" s="167">
        <v>0.05</v>
      </c>
      <c r="K140" s="168" t="s">
        <v>151</v>
      </c>
      <c r="L140" s="169" t="s">
        <v>151</v>
      </c>
    </row>
    <row r="141" spans="1:12">
      <c r="A141" s="164">
        <v>2517</v>
      </c>
      <c r="B141" s="165" t="s">
        <v>150</v>
      </c>
      <c r="C141" s="166" t="s">
        <v>155</v>
      </c>
      <c r="D141" s="167">
        <v>100</v>
      </c>
      <c r="E141" s="168">
        <v>1000</v>
      </c>
      <c r="F141" s="169">
        <v>0.1</v>
      </c>
      <c r="G141" s="172"/>
      <c r="H141" s="173"/>
      <c r="I141" s="171">
        <v>0.1</v>
      </c>
      <c r="J141" s="167">
        <v>0.05</v>
      </c>
      <c r="K141" s="168" t="s">
        <v>46</v>
      </c>
      <c r="L141" s="169" t="s">
        <v>50</v>
      </c>
    </row>
    <row r="142" spans="1:12">
      <c r="A142" s="164">
        <v>2518</v>
      </c>
      <c r="B142" s="165" t="s">
        <v>150</v>
      </c>
      <c r="C142" s="166" t="s">
        <v>156</v>
      </c>
      <c r="D142" s="167">
        <v>100</v>
      </c>
      <c r="E142" s="168">
        <v>1000</v>
      </c>
      <c r="F142" s="169">
        <v>0.1</v>
      </c>
      <c r="G142" s="172"/>
      <c r="H142" s="173"/>
      <c r="I142" s="171">
        <v>0.1</v>
      </c>
      <c r="J142" s="167">
        <v>0.05</v>
      </c>
      <c r="K142" s="168" t="s">
        <v>46</v>
      </c>
      <c r="L142" s="169" t="s">
        <v>50</v>
      </c>
    </row>
    <row r="143" spans="1:12">
      <c r="A143" s="164">
        <v>2519</v>
      </c>
      <c r="B143" s="165" t="s">
        <v>150</v>
      </c>
      <c r="C143" s="166" t="s">
        <v>157</v>
      </c>
      <c r="D143" s="167">
        <v>3.6</v>
      </c>
      <c r="E143" s="168">
        <v>1000</v>
      </c>
      <c r="F143" s="169">
        <v>3.5999999999999999E-3</v>
      </c>
      <c r="G143" s="170">
        <v>0.47</v>
      </c>
      <c r="H143" s="168">
        <v>10</v>
      </c>
      <c r="I143" s="171">
        <v>4.7E-2</v>
      </c>
      <c r="J143" s="167">
        <v>0.05</v>
      </c>
      <c r="K143" s="168" t="s">
        <v>46</v>
      </c>
      <c r="L143" s="169" t="s">
        <v>52</v>
      </c>
    </row>
    <row r="144" spans="1:12" ht="25.5">
      <c r="A144" s="164">
        <v>2520</v>
      </c>
      <c r="B144" s="165" t="s">
        <v>150</v>
      </c>
      <c r="C144" s="166" t="s">
        <v>246</v>
      </c>
      <c r="D144" s="167">
        <v>100</v>
      </c>
      <c r="E144" s="168">
        <v>1000</v>
      </c>
      <c r="F144" s="169">
        <v>0.1</v>
      </c>
      <c r="G144" s="170">
        <v>100</v>
      </c>
      <c r="H144" s="168">
        <v>50</v>
      </c>
      <c r="I144" s="171">
        <v>2</v>
      </c>
      <c r="J144" s="167">
        <v>0.05</v>
      </c>
      <c r="K144" s="168" t="s">
        <v>46</v>
      </c>
      <c r="L144" s="169" t="s">
        <v>50</v>
      </c>
    </row>
    <row r="145" spans="1:12">
      <c r="A145" s="164">
        <v>2521</v>
      </c>
      <c r="B145" s="165" t="s">
        <v>150</v>
      </c>
      <c r="C145" s="166" t="s">
        <v>158</v>
      </c>
      <c r="D145" s="167">
        <v>21</v>
      </c>
      <c r="E145" s="168">
        <v>10000</v>
      </c>
      <c r="F145" s="169">
        <v>2.0999999999999999E-3</v>
      </c>
      <c r="G145" s="172"/>
      <c r="H145" s="173"/>
      <c r="I145" s="171">
        <v>2.0999999999999999E-3</v>
      </c>
      <c r="J145" s="167">
        <v>0.05</v>
      </c>
      <c r="K145" s="168" t="s">
        <v>46</v>
      </c>
      <c r="L145" s="169" t="s">
        <v>50</v>
      </c>
    </row>
    <row r="146" spans="1:12">
      <c r="A146" s="164">
        <v>2522</v>
      </c>
      <c r="B146" s="165" t="s">
        <v>150</v>
      </c>
      <c r="C146" s="166" t="s">
        <v>159</v>
      </c>
      <c r="D146" s="167">
        <v>100</v>
      </c>
      <c r="E146" s="168">
        <v>1000</v>
      </c>
      <c r="F146" s="169">
        <v>0.1</v>
      </c>
      <c r="G146" s="172"/>
      <c r="H146" s="173"/>
      <c r="I146" s="171">
        <v>0.1</v>
      </c>
      <c r="J146" s="167">
        <v>0.05</v>
      </c>
      <c r="K146" s="168" t="s">
        <v>46</v>
      </c>
      <c r="L146" s="169" t="s">
        <v>52</v>
      </c>
    </row>
    <row r="147" spans="1:12">
      <c r="A147" s="164">
        <v>2523</v>
      </c>
      <c r="B147" s="165" t="s">
        <v>150</v>
      </c>
      <c r="C147" s="166" t="s">
        <v>247</v>
      </c>
      <c r="D147" s="167">
        <v>207</v>
      </c>
      <c r="E147" s="168">
        <v>1000</v>
      </c>
      <c r="F147" s="169">
        <v>0.20699999999999999</v>
      </c>
      <c r="G147" s="172"/>
      <c r="H147" s="173"/>
      <c r="I147" s="171">
        <v>0.20699999999999999</v>
      </c>
      <c r="J147" s="167">
        <v>1</v>
      </c>
      <c r="K147" s="168" t="s">
        <v>151</v>
      </c>
      <c r="L147" s="169" t="s">
        <v>151</v>
      </c>
    </row>
    <row r="148" spans="1:12">
      <c r="A148" s="164">
        <v>2524</v>
      </c>
      <c r="B148" s="165" t="s">
        <v>150</v>
      </c>
      <c r="C148" s="166" t="s">
        <v>160</v>
      </c>
      <c r="D148" s="167">
        <v>410</v>
      </c>
      <c r="E148" s="168">
        <v>1000</v>
      </c>
      <c r="F148" s="169">
        <v>0.41</v>
      </c>
      <c r="G148" s="172"/>
      <c r="H148" s="173"/>
      <c r="I148" s="171">
        <v>0.41</v>
      </c>
      <c r="J148" s="167">
        <v>0.05</v>
      </c>
      <c r="K148" s="168" t="s">
        <v>46</v>
      </c>
      <c r="L148" s="169" t="s">
        <v>47</v>
      </c>
    </row>
    <row r="149" spans="1:12">
      <c r="A149" s="164">
        <v>2525</v>
      </c>
      <c r="B149" s="165" t="s">
        <v>150</v>
      </c>
      <c r="C149" s="166" t="s">
        <v>161</v>
      </c>
      <c r="D149" s="167">
        <v>14</v>
      </c>
      <c r="E149" s="168">
        <v>1000</v>
      </c>
      <c r="F149" s="169">
        <v>1.4E-2</v>
      </c>
      <c r="G149" s="172"/>
      <c r="H149" s="173"/>
      <c r="I149" s="171">
        <v>1.4E-2</v>
      </c>
      <c r="J149" s="167">
        <v>1</v>
      </c>
      <c r="K149" s="168" t="s">
        <v>151</v>
      </c>
      <c r="L149" s="169" t="s">
        <v>151</v>
      </c>
    </row>
    <row r="150" spans="1:12">
      <c r="A150" s="164">
        <v>2526</v>
      </c>
      <c r="B150" s="165" t="s">
        <v>150</v>
      </c>
      <c r="C150" s="166" t="s">
        <v>162</v>
      </c>
      <c r="D150" s="167">
        <v>4.9000000000000004</v>
      </c>
      <c r="E150" s="168">
        <v>1000</v>
      </c>
      <c r="F150" s="169">
        <v>4.8999999999999998E-3</v>
      </c>
      <c r="G150" s="170">
        <v>0.7</v>
      </c>
      <c r="H150" s="168">
        <v>50</v>
      </c>
      <c r="I150" s="171">
        <v>1.4E-2</v>
      </c>
      <c r="J150" s="167">
        <v>0.01</v>
      </c>
      <c r="K150" s="168" t="s">
        <v>151</v>
      </c>
      <c r="L150" s="169" t="s">
        <v>151</v>
      </c>
    </row>
    <row r="151" spans="1:12">
      <c r="A151" s="164">
        <v>2527</v>
      </c>
      <c r="B151" s="165" t="s">
        <v>150</v>
      </c>
      <c r="C151" s="166" t="s">
        <v>163</v>
      </c>
      <c r="D151" s="167">
        <v>2.4</v>
      </c>
      <c r="E151" s="168">
        <v>1000</v>
      </c>
      <c r="F151" s="169">
        <v>2.3999999999999998E-3</v>
      </c>
      <c r="G151" s="170">
        <v>0.22</v>
      </c>
      <c r="H151" s="168">
        <v>50</v>
      </c>
      <c r="I151" s="171">
        <v>4.4000000000000003E-3</v>
      </c>
      <c r="J151" s="167">
        <v>0.01</v>
      </c>
      <c r="K151" s="168" t="s">
        <v>151</v>
      </c>
      <c r="L151" s="169" t="s">
        <v>151</v>
      </c>
    </row>
    <row r="152" spans="1:12">
      <c r="A152" s="164">
        <v>2528</v>
      </c>
      <c r="B152" s="165" t="s">
        <v>150</v>
      </c>
      <c r="C152" s="166" t="s">
        <v>164</v>
      </c>
      <c r="D152" s="167">
        <v>250</v>
      </c>
      <c r="E152" s="168">
        <v>1000</v>
      </c>
      <c r="F152" s="169">
        <v>0.25</v>
      </c>
      <c r="G152" s="170">
        <v>500</v>
      </c>
      <c r="H152" s="168">
        <v>50</v>
      </c>
      <c r="I152" s="171">
        <v>10</v>
      </c>
      <c r="J152" s="167">
        <v>0.05</v>
      </c>
      <c r="K152" s="168" t="s">
        <v>46</v>
      </c>
      <c r="L152" s="169" t="s">
        <v>50</v>
      </c>
    </row>
    <row r="153" spans="1:12">
      <c r="A153" s="164">
        <v>2529</v>
      </c>
      <c r="B153" s="165" t="s">
        <v>150</v>
      </c>
      <c r="C153" s="166" t="s">
        <v>248</v>
      </c>
      <c r="D153" s="167">
        <v>1000</v>
      </c>
      <c r="E153" s="168">
        <v>1000</v>
      </c>
      <c r="F153" s="169">
        <v>1</v>
      </c>
      <c r="G153" s="172"/>
      <c r="H153" s="173"/>
      <c r="I153" s="171">
        <v>1</v>
      </c>
      <c r="J153" s="167">
        <v>0.05</v>
      </c>
      <c r="K153" s="168" t="s">
        <v>46</v>
      </c>
      <c r="L153" s="169" t="s">
        <v>50</v>
      </c>
    </row>
    <row r="154" spans="1:12">
      <c r="A154" s="164">
        <v>2530</v>
      </c>
      <c r="B154" s="165" t="s">
        <v>150</v>
      </c>
      <c r="C154" s="166" t="s">
        <v>165</v>
      </c>
      <c r="D154" s="167">
        <v>100</v>
      </c>
      <c r="E154" s="168">
        <v>1000</v>
      </c>
      <c r="F154" s="169">
        <v>0.1</v>
      </c>
      <c r="G154" s="170">
        <v>100</v>
      </c>
      <c r="H154" s="168">
        <v>50</v>
      </c>
      <c r="I154" s="171">
        <v>2</v>
      </c>
      <c r="J154" s="167">
        <v>0.05</v>
      </c>
      <c r="K154" s="168" t="s">
        <v>46</v>
      </c>
      <c r="L154" s="169" t="s">
        <v>50</v>
      </c>
    </row>
    <row r="155" spans="1:12">
      <c r="A155" s="164">
        <v>2531</v>
      </c>
      <c r="B155" s="165" t="s">
        <v>150</v>
      </c>
      <c r="C155" s="166" t="s">
        <v>166</v>
      </c>
      <c r="D155" s="167">
        <v>90</v>
      </c>
      <c r="E155" s="168">
        <v>1000</v>
      </c>
      <c r="F155" s="169">
        <v>0.09</v>
      </c>
      <c r="G155" s="170">
        <v>0.78</v>
      </c>
      <c r="H155" s="168">
        <v>50</v>
      </c>
      <c r="I155" s="171">
        <v>1.5599999999999999E-2</v>
      </c>
      <c r="J155" s="167">
        <v>0.05</v>
      </c>
      <c r="K155" s="168" t="s">
        <v>46</v>
      </c>
      <c r="L155" s="169" t="s">
        <v>50</v>
      </c>
    </row>
    <row r="156" spans="1:12">
      <c r="A156" s="164">
        <v>2532</v>
      </c>
      <c r="B156" s="165" t="s">
        <v>150</v>
      </c>
      <c r="C156" s="166" t="s">
        <v>167</v>
      </c>
      <c r="D156" s="167">
        <v>1000</v>
      </c>
      <c r="E156" s="168">
        <v>1000</v>
      </c>
      <c r="F156" s="169">
        <v>1</v>
      </c>
      <c r="G156" s="172"/>
      <c r="H156" s="173"/>
      <c r="I156" s="171">
        <v>1</v>
      </c>
      <c r="J156" s="167">
        <v>0.5</v>
      </c>
      <c r="K156" s="168" t="s">
        <v>66</v>
      </c>
      <c r="L156" s="169" t="s">
        <v>47</v>
      </c>
    </row>
    <row r="157" spans="1:12">
      <c r="A157" s="164">
        <v>2533</v>
      </c>
      <c r="B157" s="165" t="s">
        <v>150</v>
      </c>
      <c r="C157" s="166" t="s">
        <v>168</v>
      </c>
      <c r="D157" s="167">
        <v>250</v>
      </c>
      <c r="E157" s="168">
        <v>5000</v>
      </c>
      <c r="F157" s="169">
        <v>0.05</v>
      </c>
      <c r="G157" s="172"/>
      <c r="H157" s="173"/>
      <c r="I157" s="171">
        <v>0.05</v>
      </c>
      <c r="J157" s="167">
        <v>0.5</v>
      </c>
      <c r="K157" s="168" t="s">
        <v>66</v>
      </c>
      <c r="L157" s="169" t="s">
        <v>47</v>
      </c>
    </row>
    <row r="158" spans="1:12">
      <c r="A158" s="164">
        <v>2534</v>
      </c>
      <c r="B158" s="165" t="s">
        <v>150</v>
      </c>
      <c r="C158" s="166" t="s">
        <v>249</v>
      </c>
      <c r="D158" s="184"/>
      <c r="E158" s="173"/>
      <c r="F158" s="169">
        <v>10</v>
      </c>
      <c r="G158" s="172"/>
      <c r="H158" s="173"/>
      <c r="I158" s="171">
        <v>10</v>
      </c>
      <c r="J158" s="167">
        <v>0.05</v>
      </c>
      <c r="K158" s="168" t="s">
        <v>151</v>
      </c>
      <c r="L158" s="169" t="s">
        <v>151</v>
      </c>
    </row>
    <row r="159" spans="1:12">
      <c r="A159" s="164">
        <v>2535</v>
      </c>
      <c r="B159" s="165" t="s">
        <v>150</v>
      </c>
      <c r="C159" s="166" t="s">
        <v>250</v>
      </c>
      <c r="D159" s="184"/>
      <c r="E159" s="173"/>
      <c r="F159" s="169">
        <v>10</v>
      </c>
      <c r="G159" s="172"/>
      <c r="H159" s="173"/>
      <c r="I159" s="171">
        <v>10</v>
      </c>
      <c r="J159" s="167">
        <v>1</v>
      </c>
      <c r="K159" s="168" t="s">
        <v>151</v>
      </c>
      <c r="L159" s="169" t="s">
        <v>151</v>
      </c>
    </row>
    <row r="160" spans="1:12">
      <c r="A160" s="164">
        <v>2536</v>
      </c>
      <c r="B160" s="165" t="s">
        <v>150</v>
      </c>
      <c r="C160" s="166" t="s">
        <v>251</v>
      </c>
      <c r="D160" s="167">
        <v>9100</v>
      </c>
      <c r="E160" s="168">
        <v>5000</v>
      </c>
      <c r="F160" s="169">
        <v>1.82</v>
      </c>
      <c r="G160" s="172"/>
      <c r="H160" s="173"/>
      <c r="I160" s="171">
        <v>1.82</v>
      </c>
      <c r="J160" s="167">
        <v>0.5</v>
      </c>
      <c r="K160" s="168" t="s">
        <v>66</v>
      </c>
      <c r="L160" s="169" t="s">
        <v>52</v>
      </c>
    </row>
    <row r="161" spans="1:12">
      <c r="A161" s="164">
        <v>2537</v>
      </c>
      <c r="B161" s="165" t="s">
        <v>150</v>
      </c>
      <c r="C161" s="166" t="s">
        <v>252</v>
      </c>
      <c r="D161" s="184"/>
      <c r="E161" s="173"/>
      <c r="F161" s="169">
        <v>10</v>
      </c>
      <c r="G161" s="172"/>
      <c r="H161" s="173"/>
      <c r="I161" s="171">
        <v>10</v>
      </c>
      <c r="J161" s="167">
        <v>1</v>
      </c>
      <c r="K161" s="168" t="s">
        <v>151</v>
      </c>
      <c r="L161" s="169" t="s">
        <v>151</v>
      </c>
    </row>
    <row r="162" spans="1:12">
      <c r="A162" s="164">
        <v>2538</v>
      </c>
      <c r="B162" s="165" t="s">
        <v>150</v>
      </c>
      <c r="C162" s="166" t="s">
        <v>169</v>
      </c>
      <c r="D162" s="167">
        <v>1000</v>
      </c>
      <c r="E162" s="168">
        <v>10000</v>
      </c>
      <c r="F162" s="169">
        <v>0.1</v>
      </c>
      <c r="G162" s="172"/>
      <c r="H162" s="173"/>
      <c r="I162" s="171">
        <v>0.1</v>
      </c>
      <c r="J162" s="167">
        <v>1</v>
      </c>
      <c r="K162" s="168" t="s">
        <v>139</v>
      </c>
      <c r="L162" s="169" t="s">
        <v>47</v>
      </c>
    </row>
    <row r="163" spans="1:12">
      <c r="A163" s="164">
        <v>2539</v>
      </c>
      <c r="B163" s="165" t="s">
        <v>150</v>
      </c>
      <c r="C163" s="166" t="s">
        <v>170</v>
      </c>
      <c r="D163" s="167">
        <v>1000</v>
      </c>
      <c r="E163" s="168">
        <v>10000</v>
      </c>
      <c r="F163" s="169">
        <v>0.1</v>
      </c>
      <c r="G163" s="172"/>
      <c r="H163" s="173"/>
      <c r="I163" s="171">
        <v>0.1</v>
      </c>
      <c r="J163" s="167">
        <v>0.05</v>
      </c>
      <c r="K163" s="168" t="s">
        <v>46</v>
      </c>
      <c r="L163" s="169" t="s">
        <v>50</v>
      </c>
    </row>
    <row r="164" spans="1:12">
      <c r="A164" s="164">
        <v>2540</v>
      </c>
      <c r="B164" s="165" t="s">
        <v>150</v>
      </c>
      <c r="C164" s="166" t="s">
        <v>171</v>
      </c>
      <c r="D164" s="167">
        <v>450</v>
      </c>
      <c r="E164" s="168">
        <v>1000</v>
      </c>
      <c r="F164" s="169">
        <v>0.45</v>
      </c>
      <c r="G164" s="172"/>
      <c r="H164" s="173"/>
      <c r="I164" s="171">
        <v>0.45</v>
      </c>
      <c r="J164" s="167">
        <v>0.05</v>
      </c>
      <c r="K164" s="168" t="s">
        <v>46</v>
      </c>
      <c r="L164" s="169" t="s">
        <v>52</v>
      </c>
    </row>
    <row r="165" spans="1:12">
      <c r="A165" s="164">
        <v>2541</v>
      </c>
      <c r="B165" s="165" t="s">
        <v>150</v>
      </c>
      <c r="C165" s="166" t="s">
        <v>172</v>
      </c>
      <c r="D165" s="167">
        <v>230</v>
      </c>
      <c r="E165" s="168">
        <v>1000</v>
      </c>
      <c r="F165" s="169">
        <v>0.23</v>
      </c>
      <c r="G165" s="170">
        <v>31</v>
      </c>
      <c r="H165" s="168">
        <v>100</v>
      </c>
      <c r="I165" s="171">
        <v>0.31</v>
      </c>
      <c r="J165" s="167">
        <v>0.15</v>
      </c>
      <c r="K165" s="168" t="s">
        <v>46</v>
      </c>
      <c r="L165" s="169" t="s">
        <v>47</v>
      </c>
    </row>
    <row r="166" spans="1:12">
      <c r="A166" s="164">
        <v>2542</v>
      </c>
      <c r="B166" s="165" t="s">
        <v>150</v>
      </c>
      <c r="C166" s="166" t="s">
        <v>253</v>
      </c>
      <c r="D166" s="184"/>
      <c r="E166" s="173"/>
      <c r="F166" s="169">
        <v>10</v>
      </c>
      <c r="G166" s="172"/>
      <c r="H166" s="173"/>
      <c r="I166" s="171">
        <v>10</v>
      </c>
      <c r="J166" s="167">
        <v>0.05</v>
      </c>
      <c r="K166" s="168" t="s">
        <v>151</v>
      </c>
      <c r="L166" s="169" t="s">
        <v>151</v>
      </c>
    </row>
    <row r="167" spans="1:12">
      <c r="A167" s="164">
        <v>2543</v>
      </c>
      <c r="B167" s="165" t="s">
        <v>150</v>
      </c>
      <c r="C167" s="166" t="s">
        <v>173</v>
      </c>
      <c r="D167" s="167">
        <v>28</v>
      </c>
      <c r="E167" s="168">
        <v>1000</v>
      </c>
      <c r="F167" s="169">
        <v>2.8000000000000001E-2</v>
      </c>
      <c r="G167" s="170">
        <v>0.05</v>
      </c>
      <c r="H167" s="168">
        <v>10</v>
      </c>
      <c r="I167" s="171">
        <v>5.0000000000000001E-3</v>
      </c>
      <c r="J167" s="167">
        <v>0.05</v>
      </c>
      <c r="K167" s="168" t="s">
        <v>151</v>
      </c>
      <c r="L167" s="169" t="s">
        <v>151</v>
      </c>
    </row>
    <row r="168" spans="1:12">
      <c r="A168" s="164">
        <v>2544</v>
      </c>
      <c r="B168" s="165" t="s">
        <v>150</v>
      </c>
      <c r="C168" s="166" t="s">
        <v>174</v>
      </c>
      <c r="D168" s="167">
        <v>25</v>
      </c>
      <c r="E168" s="168">
        <v>5000</v>
      </c>
      <c r="F168" s="169">
        <v>5.0000000000000001E-3</v>
      </c>
      <c r="G168" s="172"/>
      <c r="H168" s="173"/>
      <c r="I168" s="171">
        <v>5.0000000000000001E-3</v>
      </c>
      <c r="J168" s="167">
        <v>0.05</v>
      </c>
      <c r="K168" s="168" t="s">
        <v>46</v>
      </c>
      <c r="L168" s="169" t="s">
        <v>50</v>
      </c>
    </row>
    <row r="169" spans="1:12">
      <c r="A169" s="164">
        <v>2545</v>
      </c>
      <c r="B169" s="165" t="s">
        <v>150</v>
      </c>
      <c r="C169" s="166" t="s">
        <v>175</v>
      </c>
      <c r="D169" s="167">
        <v>113</v>
      </c>
      <c r="E169" s="168">
        <v>5000</v>
      </c>
      <c r="F169" s="169">
        <v>2.3E-2</v>
      </c>
      <c r="G169" s="172"/>
      <c r="H169" s="173"/>
      <c r="I169" s="171">
        <v>2.3E-2</v>
      </c>
      <c r="J169" s="167">
        <v>0.05</v>
      </c>
      <c r="K169" s="168" t="s">
        <v>46</v>
      </c>
      <c r="L169" s="169" t="s">
        <v>52</v>
      </c>
    </row>
    <row r="170" spans="1:12">
      <c r="A170" s="164">
        <v>2546</v>
      </c>
      <c r="B170" s="165" t="s">
        <v>150</v>
      </c>
      <c r="C170" s="166" t="s">
        <v>176</v>
      </c>
      <c r="D170" s="167">
        <v>0.17</v>
      </c>
      <c r="E170" s="168">
        <v>1000</v>
      </c>
      <c r="F170" s="169">
        <v>1.7000000000000001E-4</v>
      </c>
      <c r="G170" s="170">
        <v>6.0000000000000001E-3</v>
      </c>
      <c r="H170" s="168">
        <v>50</v>
      </c>
      <c r="I170" s="171">
        <v>1.2E-4</v>
      </c>
      <c r="J170" s="167">
        <v>0.01</v>
      </c>
      <c r="K170" s="168" t="s">
        <v>46</v>
      </c>
      <c r="L170" s="169" t="s">
        <v>50</v>
      </c>
    </row>
    <row r="171" spans="1:12">
      <c r="A171" s="164">
        <v>2547</v>
      </c>
      <c r="B171" s="165" t="s">
        <v>150</v>
      </c>
      <c r="C171" s="166" t="s">
        <v>177</v>
      </c>
      <c r="D171" s="167">
        <v>18</v>
      </c>
      <c r="E171" s="168">
        <v>1000</v>
      </c>
      <c r="F171" s="169">
        <v>1.7999999999999999E-2</v>
      </c>
      <c r="G171" s="172"/>
      <c r="H171" s="173"/>
      <c r="I171" s="171">
        <v>1.7999999999999999E-2</v>
      </c>
      <c r="J171" s="167">
        <v>0.01</v>
      </c>
      <c r="K171" s="168" t="s">
        <v>46</v>
      </c>
      <c r="L171" s="169" t="s">
        <v>50</v>
      </c>
    </row>
    <row r="172" spans="1:12">
      <c r="A172" s="164">
        <v>2548</v>
      </c>
      <c r="B172" s="165" t="s">
        <v>150</v>
      </c>
      <c r="C172" s="166" t="s">
        <v>178</v>
      </c>
      <c r="D172" s="167">
        <v>1972</v>
      </c>
      <c r="E172" s="168">
        <v>1000</v>
      </c>
      <c r="F172" s="169">
        <v>1.972</v>
      </c>
      <c r="G172" s="172"/>
      <c r="H172" s="173"/>
      <c r="I172" s="171">
        <v>1.972</v>
      </c>
      <c r="J172" s="167">
        <v>0.05</v>
      </c>
      <c r="K172" s="168" t="s">
        <v>46</v>
      </c>
      <c r="L172" s="169" t="s">
        <v>52</v>
      </c>
    </row>
    <row r="173" spans="1:12">
      <c r="A173" s="164">
        <v>2549</v>
      </c>
      <c r="B173" s="165" t="s">
        <v>150</v>
      </c>
      <c r="C173" s="166" t="s">
        <v>179</v>
      </c>
      <c r="D173" s="167">
        <v>2</v>
      </c>
      <c r="E173" s="168">
        <v>1000</v>
      </c>
      <c r="F173" s="169">
        <v>2E-3</v>
      </c>
      <c r="G173" s="172"/>
      <c r="H173" s="173"/>
      <c r="I173" s="171">
        <v>2E-3</v>
      </c>
      <c r="J173" s="167">
        <v>0.5</v>
      </c>
      <c r="K173" s="168" t="s">
        <v>66</v>
      </c>
      <c r="L173" s="169" t="s">
        <v>47</v>
      </c>
    </row>
    <row r="174" spans="1:12">
      <c r="A174" s="164">
        <v>2550</v>
      </c>
      <c r="B174" s="165" t="s">
        <v>150</v>
      </c>
      <c r="C174" s="166" t="s">
        <v>180</v>
      </c>
      <c r="D174" s="167">
        <v>10</v>
      </c>
      <c r="E174" s="168">
        <v>1000</v>
      </c>
      <c r="F174" s="169">
        <v>0.01</v>
      </c>
      <c r="G174" s="172"/>
      <c r="H174" s="173"/>
      <c r="I174" s="171">
        <v>0.01</v>
      </c>
      <c r="J174" s="167">
        <v>1</v>
      </c>
      <c r="K174" s="168" t="s">
        <v>139</v>
      </c>
      <c r="L174" s="169" t="s">
        <v>47</v>
      </c>
    </row>
    <row r="175" spans="1:12">
      <c r="A175" s="164">
        <v>2551</v>
      </c>
      <c r="B175" s="165" t="s">
        <v>150</v>
      </c>
      <c r="C175" s="166" t="s">
        <v>181</v>
      </c>
      <c r="D175" s="167">
        <v>100</v>
      </c>
      <c r="E175" s="168">
        <v>1000</v>
      </c>
      <c r="F175" s="169">
        <v>0.1</v>
      </c>
      <c r="G175" s="172"/>
      <c r="H175" s="173"/>
      <c r="I175" s="171">
        <v>0.1</v>
      </c>
      <c r="J175" s="167">
        <v>0.05</v>
      </c>
      <c r="K175" s="168" t="s">
        <v>46</v>
      </c>
      <c r="L175" s="169" t="s">
        <v>50</v>
      </c>
    </row>
    <row r="176" spans="1:12">
      <c r="A176" s="164">
        <v>2552</v>
      </c>
      <c r="B176" s="165" t="s">
        <v>150</v>
      </c>
      <c r="C176" s="166" t="s">
        <v>254</v>
      </c>
      <c r="D176" s="167">
        <v>655</v>
      </c>
      <c r="E176" s="168">
        <v>1000</v>
      </c>
      <c r="F176" s="169">
        <v>0.65500000000000003</v>
      </c>
      <c r="G176" s="172"/>
      <c r="H176" s="173"/>
      <c r="I176" s="171">
        <v>0.65500000000000003</v>
      </c>
      <c r="J176" s="167">
        <v>1</v>
      </c>
      <c r="K176" s="168" t="s">
        <v>139</v>
      </c>
      <c r="L176" s="169" t="s">
        <v>52</v>
      </c>
    </row>
    <row r="177" spans="1:12">
      <c r="A177" s="164">
        <v>2553</v>
      </c>
      <c r="B177" s="165" t="s">
        <v>150</v>
      </c>
      <c r="C177" s="166" t="s">
        <v>255</v>
      </c>
      <c r="D177" s="167">
        <v>530</v>
      </c>
      <c r="E177" s="168">
        <v>1000</v>
      </c>
      <c r="F177" s="169">
        <v>0.53</v>
      </c>
      <c r="G177" s="172"/>
      <c r="H177" s="173"/>
      <c r="I177" s="171">
        <v>0.53</v>
      </c>
      <c r="J177" s="167">
        <v>1</v>
      </c>
      <c r="K177" s="168" t="s">
        <v>139</v>
      </c>
      <c r="L177" s="169" t="s">
        <v>47</v>
      </c>
    </row>
    <row r="178" spans="1:12">
      <c r="A178" s="164">
        <v>2554</v>
      </c>
      <c r="B178" s="165" t="s">
        <v>150</v>
      </c>
      <c r="C178" s="166" t="s">
        <v>182</v>
      </c>
      <c r="D178" s="167">
        <v>0.2</v>
      </c>
      <c r="E178" s="168">
        <v>1000</v>
      </c>
      <c r="F178" s="169">
        <v>2.0000000000000001E-4</v>
      </c>
      <c r="G178" s="170">
        <v>0.16</v>
      </c>
      <c r="H178" s="168">
        <v>100</v>
      </c>
      <c r="I178" s="171">
        <v>1.6000000000000001E-3</v>
      </c>
      <c r="J178" s="167">
        <v>1</v>
      </c>
      <c r="K178" s="168" t="s">
        <v>139</v>
      </c>
      <c r="L178" s="169" t="s">
        <v>47</v>
      </c>
    </row>
    <row r="179" spans="1:12">
      <c r="A179" s="164">
        <v>2555</v>
      </c>
      <c r="B179" s="165" t="s">
        <v>150</v>
      </c>
      <c r="C179" s="166" t="s">
        <v>256</v>
      </c>
      <c r="D179" s="167">
        <v>81</v>
      </c>
      <c r="E179" s="168">
        <v>1000</v>
      </c>
      <c r="F179" s="169">
        <v>8.1000000000000003E-2</v>
      </c>
      <c r="G179" s="170">
        <v>11.7</v>
      </c>
      <c r="H179" s="168">
        <v>50</v>
      </c>
      <c r="I179" s="171">
        <v>0.23400000000000001</v>
      </c>
      <c r="J179" s="167">
        <v>0.05</v>
      </c>
      <c r="K179" s="168" t="s">
        <v>46</v>
      </c>
      <c r="L179" s="169" t="s">
        <v>47</v>
      </c>
    </row>
    <row r="180" spans="1:12">
      <c r="A180" s="164">
        <v>2556</v>
      </c>
      <c r="B180" s="165" t="s">
        <v>150</v>
      </c>
      <c r="C180" s="166" t="s">
        <v>257</v>
      </c>
      <c r="D180" s="167">
        <v>100</v>
      </c>
      <c r="E180" s="168">
        <v>1000</v>
      </c>
      <c r="F180" s="169">
        <v>0.1</v>
      </c>
      <c r="G180" s="170">
        <v>5.5</v>
      </c>
      <c r="H180" s="168">
        <v>50</v>
      </c>
      <c r="I180" s="171">
        <v>0.11</v>
      </c>
      <c r="J180" s="167">
        <v>0.5</v>
      </c>
      <c r="K180" s="168" t="s">
        <v>66</v>
      </c>
      <c r="L180" s="169" t="s">
        <v>47</v>
      </c>
    </row>
    <row r="181" spans="1:12">
      <c r="A181" s="164">
        <v>2557</v>
      </c>
      <c r="B181" s="165" t="s">
        <v>150</v>
      </c>
      <c r="C181" s="166" t="s">
        <v>258</v>
      </c>
      <c r="D181" s="167">
        <v>10</v>
      </c>
      <c r="E181" s="168">
        <v>1000</v>
      </c>
      <c r="F181" s="169">
        <v>0.01</v>
      </c>
      <c r="G181" s="170">
        <v>1</v>
      </c>
      <c r="H181" s="168">
        <v>10</v>
      </c>
      <c r="I181" s="171">
        <v>0.1</v>
      </c>
      <c r="J181" s="167">
        <v>1</v>
      </c>
      <c r="K181" s="168" t="s">
        <v>139</v>
      </c>
      <c r="L181" s="169" t="s">
        <v>47</v>
      </c>
    </row>
    <row r="182" spans="1:12">
      <c r="A182" s="164">
        <v>2558</v>
      </c>
      <c r="B182" s="165" t="s">
        <v>150</v>
      </c>
      <c r="C182" s="166" t="s">
        <v>259</v>
      </c>
      <c r="D182" s="167">
        <v>4.2249999999999996</v>
      </c>
      <c r="E182" s="168">
        <v>1000</v>
      </c>
      <c r="F182" s="169">
        <v>4.2249999999999996E-3</v>
      </c>
      <c r="G182" s="170">
        <v>0.11</v>
      </c>
      <c r="H182" s="168">
        <v>50</v>
      </c>
      <c r="I182" s="171">
        <v>2.2000000000000001E-3</v>
      </c>
      <c r="J182" s="167">
        <v>0.05</v>
      </c>
      <c r="K182" s="168" t="s">
        <v>46</v>
      </c>
      <c r="L182" s="169" t="s">
        <v>52</v>
      </c>
    </row>
    <row r="183" spans="1:12">
      <c r="A183" s="164">
        <v>2559</v>
      </c>
      <c r="B183" s="165" t="s">
        <v>150</v>
      </c>
      <c r="C183" s="166" t="s">
        <v>260</v>
      </c>
      <c r="D183" s="167">
        <v>0.26</v>
      </c>
      <c r="E183" s="168">
        <v>1000</v>
      </c>
      <c r="F183" s="169">
        <v>2.5999999999999998E-4</v>
      </c>
      <c r="G183" s="170">
        <v>3.9600000000000003E-2</v>
      </c>
      <c r="H183" s="168">
        <v>50</v>
      </c>
      <c r="I183" s="171">
        <v>7.9000000000000001E-4</v>
      </c>
      <c r="J183" s="167">
        <v>0.05</v>
      </c>
      <c r="K183" s="168" t="s">
        <v>46</v>
      </c>
      <c r="L183" s="169" t="s">
        <v>52</v>
      </c>
    </row>
    <row r="184" spans="1:12">
      <c r="A184" s="164">
        <v>2560</v>
      </c>
      <c r="B184" s="165" t="s">
        <v>150</v>
      </c>
      <c r="C184" s="166" t="s">
        <v>183</v>
      </c>
      <c r="D184" s="167">
        <v>100</v>
      </c>
      <c r="E184" s="168">
        <v>1000</v>
      </c>
      <c r="F184" s="169">
        <v>0.1</v>
      </c>
      <c r="G184" s="172"/>
      <c r="H184" s="173"/>
      <c r="I184" s="171">
        <v>0.1</v>
      </c>
      <c r="J184" s="167">
        <v>0.05</v>
      </c>
      <c r="K184" s="168" t="s">
        <v>46</v>
      </c>
      <c r="L184" s="169" t="s">
        <v>50</v>
      </c>
    </row>
    <row r="185" spans="1:12">
      <c r="A185" s="164">
        <v>2561</v>
      </c>
      <c r="B185" s="165" t="s">
        <v>150</v>
      </c>
      <c r="C185" s="166" t="s">
        <v>261</v>
      </c>
      <c r="D185" s="167">
        <v>31</v>
      </c>
      <c r="E185" s="168">
        <v>1000</v>
      </c>
      <c r="F185" s="169">
        <v>3.1E-2</v>
      </c>
      <c r="G185" s="172"/>
      <c r="H185" s="173"/>
      <c r="I185" s="171">
        <v>3.1E-2</v>
      </c>
      <c r="J185" s="167">
        <v>0.05</v>
      </c>
      <c r="K185" s="168" t="s">
        <v>46</v>
      </c>
      <c r="L185" s="169" t="s">
        <v>52</v>
      </c>
    </row>
    <row r="186" spans="1:12">
      <c r="A186" s="164">
        <v>2562</v>
      </c>
      <c r="B186" s="165" t="s">
        <v>150</v>
      </c>
      <c r="C186" s="166" t="s">
        <v>262</v>
      </c>
      <c r="D186" s="167">
        <v>106</v>
      </c>
      <c r="E186" s="168">
        <v>1000</v>
      </c>
      <c r="F186" s="169">
        <v>0.106</v>
      </c>
      <c r="G186" s="172"/>
      <c r="H186" s="173"/>
      <c r="I186" s="171">
        <v>0.106</v>
      </c>
      <c r="J186" s="167">
        <v>0.05</v>
      </c>
      <c r="K186" s="168" t="s">
        <v>46</v>
      </c>
      <c r="L186" s="169" t="s">
        <v>50</v>
      </c>
    </row>
    <row r="187" spans="1:12">
      <c r="A187" s="164">
        <v>2563</v>
      </c>
      <c r="B187" s="165" t="s">
        <v>150</v>
      </c>
      <c r="C187" s="166" t="s">
        <v>263</v>
      </c>
      <c r="D187" s="167">
        <v>106</v>
      </c>
      <c r="E187" s="168">
        <v>1000</v>
      </c>
      <c r="F187" s="169">
        <v>0.106</v>
      </c>
      <c r="G187" s="172"/>
      <c r="H187" s="173"/>
      <c r="I187" s="171">
        <v>0.106</v>
      </c>
      <c r="J187" s="167">
        <v>0.05</v>
      </c>
      <c r="K187" s="168" t="s">
        <v>46</v>
      </c>
      <c r="L187" s="169" t="s">
        <v>52</v>
      </c>
    </row>
    <row r="188" spans="1:12">
      <c r="A188" s="164">
        <v>2564</v>
      </c>
      <c r="B188" s="165" t="s">
        <v>150</v>
      </c>
      <c r="C188" s="166" t="s">
        <v>264</v>
      </c>
      <c r="D188" s="167">
        <v>51</v>
      </c>
      <c r="E188" s="168">
        <v>1000</v>
      </c>
      <c r="F188" s="169">
        <v>5.0999999999999997E-2</v>
      </c>
      <c r="G188" s="172"/>
      <c r="H188" s="173"/>
      <c r="I188" s="171">
        <v>5.0999999999999997E-2</v>
      </c>
      <c r="J188" s="167">
        <v>0.05</v>
      </c>
      <c r="K188" s="168" t="s">
        <v>46</v>
      </c>
      <c r="L188" s="169" t="s">
        <v>52</v>
      </c>
    </row>
    <row r="189" spans="1:12">
      <c r="A189" s="164">
        <v>2565</v>
      </c>
      <c r="B189" s="165" t="s">
        <v>150</v>
      </c>
      <c r="C189" s="166" t="s">
        <v>265</v>
      </c>
      <c r="D189" s="167">
        <v>138</v>
      </c>
      <c r="E189" s="168">
        <v>1000</v>
      </c>
      <c r="F189" s="169">
        <v>0.13800000000000001</v>
      </c>
      <c r="G189" s="172"/>
      <c r="H189" s="173"/>
      <c r="I189" s="171">
        <v>0.13800000000000001</v>
      </c>
      <c r="J189" s="167">
        <v>0.05</v>
      </c>
      <c r="K189" s="168" t="s">
        <v>151</v>
      </c>
      <c r="L189" s="169" t="s">
        <v>151</v>
      </c>
    </row>
    <row r="190" spans="1:12">
      <c r="A190" s="164">
        <v>2566</v>
      </c>
      <c r="B190" s="165" t="s">
        <v>150</v>
      </c>
      <c r="C190" s="166" t="s">
        <v>266</v>
      </c>
      <c r="D190" s="167">
        <v>128</v>
      </c>
      <c r="E190" s="168">
        <v>5000</v>
      </c>
      <c r="F190" s="169">
        <v>2.5600000000000001E-2</v>
      </c>
      <c r="G190" s="172"/>
      <c r="H190" s="173"/>
      <c r="I190" s="171">
        <v>2.5600000000000001E-2</v>
      </c>
      <c r="J190" s="167">
        <v>0.05</v>
      </c>
      <c r="K190" s="168" t="s">
        <v>46</v>
      </c>
      <c r="L190" s="169" t="s">
        <v>52</v>
      </c>
    </row>
    <row r="191" spans="1:12">
      <c r="A191" s="164">
        <v>2567</v>
      </c>
      <c r="B191" s="165" t="s">
        <v>150</v>
      </c>
      <c r="C191" s="166" t="s">
        <v>267</v>
      </c>
      <c r="D191" s="167">
        <v>30</v>
      </c>
      <c r="E191" s="168">
        <v>1000</v>
      </c>
      <c r="F191" s="169">
        <v>0.03</v>
      </c>
      <c r="G191" s="172"/>
      <c r="H191" s="173"/>
      <c r="I191" s="171">
        <v>0.03</v>
      </c>
      <c r="J191" s="167">
        <v>0.05</v>
      </c>
      <c r="K191" s="168" t="s">
        <v>46</v>
      </c>
      <c r="L191" s="169" t="s">
        <v>50</v>
      </c>
    </row>
    <row r="192" spans="1:12">
      <c r="A192" s="164">
        <v>2568</v>
      </c>
      <c r="B192" s="165" t="s">
        <v>150</v>
      </c>
      <c r="C192" s="166" t="s">
        <v>268</v>
      </c>
      <c r="D192" s="167">
        <v>130</v>
      </c>
      <c r="E192" s="168">
        <v>1000</v>
      </c>
      <c r="F192" s="169">
        <v>0.13</v>
      </c>
      <c r="G192" s="172"/>
      <c r="H192" s="173"/>
      <c r="I192" s="171">
        <v>0.13</v>
      </c>
      <c r="J192" s="167">
        <v>0.05</v>
      </c>
      <c r="K192" s="168" t="s">
        <v>46</v>
      </c>
      <c r="L192" s="169" t="s">
        <v>50</v>
      </c>
    </row>
    <row r="193" spans="1:12">
      <c r="A193" s="164">
        <v>2569</v>
      </c>
      <c r="B193" s="165" t="s">
        <v>150</v>
      </c>
      <c r="C193" s="166" t="s">
        <v>269</v>
      </c>
      <c r="D193" s="167">
        <v>48</v>
      </c>
      <c r="E193" s="168">
        <v>1000</v>
      </c>
      <c r="F193" s="169">
        <v>4.8000000000000001E-2</v>
      </c>
      <c r="G193" s="172"/>
      <c r="H193" s="173"/>
      <c r="I193" s="171">
        <v>4.8000000000000001E-2</v>
      </c>
      <c r="J193" s="167">
        <v>1</v>
      </c>
      <c r="K193" s="168" t="s">
        <v>151</v>
      </c>
      <c r="L193" s="169" t="s">
        <v>151</v>
      </c>
    </row>
    <row r="194" spans="1:12">
      <c r="A194" s="164">
        <v>2570</v>
      </c>
      <c r="B194" s="165" t="s">
        <v>150</v>
      </c>
      <c r="C194" s="166" t="s">
        <v>270</v>
      </c>
      <c r="D194" s="167">
        <v>100</v>
      </c>
      <c r="E194" s="168">
        <v>1000</v>
      </c>
      <c r="F194" s="169">
        <v>0.1</v>
      </c>
      <c r="G194" s="170">
        <v>10</v>
      </c>
      <c r="H194" s="168">
        <v>50</v>
      </c>
      <c r="I194" s="171">
        <v>0.2</v>
      </c>
      <c r="J194" s="167">
        <v>0.05</v>
      </c>
      <c r="K194" s="168" t="s">
        <v>46</v>
      </c>
      <c r="L194" s="169" t="s">
        <v>52</v>
      </c>
    </row>
    <row r="195" spans="1:12">
      <c r="A195" s="164">
        <v>2571</v>
      </c>
      <c r="B195" s="165" t="s">
        <v>150</v>
      </c>
      <c r="C195" s="166" t="s">
        <v>271</v>
      </c>
      <c r="D195" s="167">
        <v>31.2</v>
      </c>
      <c r="E195" s="168">
        <v>1000</v>
      </c>
      <c r="F195" s="169">
        <v>3.1199999999999999E-2</v>
      </c>
      <c r="G195" s="172"/>
      <c r="H195" s="173"/>
      <c r="I195" s="171">
        <v>3.1199999999999999E-2</v>
      </c>
      <c r="J195" s="167">
        <v>0.05</v>
      </c>
      <c r="K195" s="168" t="s">
        <v>46</v>
      </c>
      <c r="L195" s="169" t="s">
        <v>52</v>
      </c>
    </row>
    <row r="196" spans="1:12">
      <c r="A196" s="164">
        <v>2572</v>
      </c>
      <c r="B196" s="165" t="s">
        <v>150</v>
      </c>
      <c r="C196" s="166" t="s">
        <v>272</v>
      </c>
      <c r="D196" s="167">
        <v>208</v>
      </c>
      <c r="E196" s="168">
        <v>5000</v>
      </c>
      <c r="F196" s="169">
        <v>4.1599999999999998E-2</v>
      </c>
      <c r="G196" s="172"/>
      <c r="H196" s="173"/>
      <c r="I196" s="171">
        <v>4.1599999999999998E-2</v>
      </c>
      <c r="J196" s="167">
        <v>0.05</v>
      </c>
      <c r="K196" s="168" t="s">
        <v>46</v>
      </c>
      <c r="L196" s="169" t="s">
        <v>52</v>
      </c>
    </row>
    <row r="197" spans="1:12">
      <c r="A197" s="164">
        <v>2573</v>
      </c>
      <c r="B197" s="165" t="s">
        <v>150</v>
      </c>
      <c r="C197" s="166" t="s">
        <v>273</v>
      </c>
      <c r="D197" s="167">
        <v>95</v>
      </c>
      <c r="E197" s="168">
        <v>5000</v>
      </c>
      <c r="F197" s="169">
        <v>1.9E-2</v>
      </c>
      <c r="G197" s="172"/>
      <c r="H197" s="173"/>
      <c r="I197" s="171">
        <v>1.9E-2</v>
      </c>
      <c r="J197" s="167">
        <v>0.05</v>
      </c>
      <c r="K197" s="168" t="s">
        <v>46</v>
      </c>
      <c r="L197" s="169" t="s">
        <v>52</v>
      </c>
    </row>
    <row r="198" spans="1:12">
      <c r="A198" s="164">
        <v>2574</v>
      </c>
      <c r="B198" s="165" t="s">
        <v>150</v>
      </c>
      <c r="C198" s="166" t="s">
        <v>274</v>
      </c>
      <c r="D198" s="167">
        <v>6500</v>
      </c>
      <c r="E198" s="168">
        <v>1000</v>
      </c>
      <c r="F198" s="169">
        <v>6.5</v>
      </c>
      <c r="G198" s="172"/>
      <c r="H198" s="173"/>
      <c r="I198" s="171">
        <v>6.5</v>
      </c>
      <c r="J198" s="167">
        <v>0.05</v>
      </c>
      <c r="K198" s="168" t="s">
        <v>46</v>
      </c>
      <c r="L198" s="169" t="s">
        <v>50</v>
      </c>
    </row>
    <row r="199" spans="1:12">
      <c r="A199" s="164">
        <v>2575</v>
      </c>
      <c r="B199" s="165" t="s">
        <v>150</v>
      </c>
      <c r="C199" s="166" t="s">
        <v>184</v>
      </c>
      <c r="D199" s="167">
        <v>911</v>
      </c>
      <c r="E199" s="168">
        <v>1000</v>
      </c>
      <c r="F199" s="169">
        <v>0.91100000000000003</v>
      </c>
      <c r="G199" s="170">
        <v>88</v>
      </c>
      <c r="H199" s="168">
        <v>10</v>
      </c>
      <c r="I199" s="171">
        <v>8.8000000000000007</v>
      </c>
      <c r="J199" s="167">
        <v>0.05</v>
      </c>
      <c r="K199" s="168" t="s">
        <v>46</v>
      </c>
      <c r="L199" s="169" t="s">
        <v>50</v>
      </c>
    </row>
    <row r="200" spans="1:12">
      <c r="A200" s="164">
        <v>2576</v>
      </c>
      <c r="B200" s="165" t="s">
        <v>150</v>
      </c>
      <c r="C200" s="166" t="s">
        <v>275</v>
      </c>
      <c r="D200" s="167">
        <v>4400</v>
      </c>
      <c r="E200" s="168">
        <v>1000</v>
      </c>
      <c r="F200" s="169">
        <v>4.4000000000000004</v>
      </c>
      <c r="G200" s="170">
        <v>100</v>
      </c>
      <c r="H200" s="168">
        <v>10</v>
      </c>
      <c r="I200" s="171">
        <v>10</v>
      </c>
      <c r="J200" s="167">
        <v>0.05</v>
      </c>
      <c r="K200" s="168" t="s">
        <v>46</v>
      </c>
      <c r="L200" s="169" t="s">
        <v>50</v>
      </c>
    </row>
    <row r="201" spans="1:12">
      <c r="A201" s="164">
        <v>2577</v>
      </c>
      <c r="B201" s="165" t="s">
        <v>150</v>
      </c>
      <c r="C201" s="166" t="s">
        <v>185</v>
      </c>
      <c r="D201" s="167">
        <v>500</v>
      </c>
      <c r="E201" s="168">
        <v>1000</v>
      </c>
      <c r="F201" s="169">
        <v>0.5</v>
      </c>
      <c r="G201" s="172"/>
      <c r="H201" s="173"/>
      <c r="I201" s="171">
        <v>0.5</v>
      </c>
      <c r="J201" s="167">
        <v>0.05</v>
      </c>
      <c r="K201" s="168" t="s">
        <v>46</v>
      </c>
      <c r="L201" s="169" t="s">
        <v>52</v>
      </c>
    </row>
    <row r="202" spans="1:12">
      <c r="A202" s="164">
        <v>2578</v>
      </c>
      <c r="B202" s="165" t="s">
        <v>150</v>
      </c>
      <c r="C202" s="166" t="s">
        <v>186</v>
      </c>
      <c r="D202" s="167">
        <v>3940</v>
      </c>
      <c r="E202" s="168">
        <v>5000</v>
      </c>
      <c r="F202" s="169">
        <v>0.78800000000000003</v>
      </c>
      <c r="G202" s="172"/>
      <c r="H202" s="173"/>
      <c r="I202" s="171">
        <v>0.78800000000000003</v>
      </c>
      <c r="J202" s="167">
        <v>0.05</v>
      </c>
      <c r="K202" s="168" t="s">
        <v>46</v>
      </c>
      <c r="L202" s="169" t="s">
        <v>52</v>
      </c>
    </row>
    <row r="203" spans="1:12">
      <c r="A203" s="164">
        <v>2579</v>
      </c>
      <c r="B203" s="165" t="s">
        <v>150</v>
      </c>
      <c r="C203" s="166" t="s">
        <v>187</v>
      </c>
      <c r="D203" s="167">
        <v>1254</v>
      </c>
      <c r="E203" s="168">
        <v>1000</v>
      </c>
      <c r="F203" s="169">
        <v>1.254</v>
      </c>
      <c r="G203" s="172"/>
      <c r="H203" s="173"/>
      <c r="I203" s="171">
        <v>1.254</v>
      </c>
      <c r="J203" s="167">
        <v>0.05</v>
      </c>
      <c r="K203" s="168" t="s">
        <v>46</v>
      </c>
      <c r="L203" s="169" t="s">
        <v>52</v>
      </c>
    </row>
    <row r="204" spans="1:12">
      <c r="A204" s="164">
        <v>2580</v>
      </c>
      <c r="B204" s="165" t="s">
        <v>150</v>
      </c>
      <c r="C204" s="166" t="s">
        <v>188</v>
      </c>
      <c r="D204" s="167">
        <v>943</v>
      </c>
      <c r="E204" s="168">
        <v>1000</v>
      </c>
      <c r="F204" s="169">
        <v>0.94299999999999995</v>
      </c>
      <c r="G204" s="170">
        <v>320</v>
      </c>
      <c r="H204" s="168">
        <v>50</v>
      </c>
      <c r="I204" s="171">
        <v>6.4</v>
      </c>
      <c r="J204" s="167">
        <v>0.5</v>
      </c>
      <c r="K204" s="168" t="s">
        <v>66</v>
      </c>
      <c r="L204" s="169" t="s">
        <v>52</v>
      </c>
    </row>
    <row r="205" spans="1:12">
      <c r="A205" s="164">
        <v>2581</v>
      </c>
      <c r="B205" s="165" t="s">
        <v>150</v>
      </c>
      <c r="C205" s="166" t="s">
        <v>276</v>
      </c>
      <c r="D205" s="167">
        <v>32000</v>
      </c>
      <c r="E205" s="168">
        <v>1000</v>
      </c>
      <c r="F205" s="169">
        <v>32</v>
      </c>
      <c r="G205" s="172"/>
      <c r="H205" s="173"/>
      <c r="I205" s="171">
        <v>32</v>
      </c>
      <c r="J205" s="167">
        <v>0.05</v>
      </c>
      <c r="K205" s="168" t="s">
        <v>46</v>
      </c>
      <c r="L205" s="169" t="s">
        <v>50</v>
      </c>
    </row>
    <row r="206" spans="1:12">
      <c r="A206" s="164">
        <v>2582</v>
      </c>
      <c r="B206" s="165" t="s">
        <v>150</v>
      </c>
      <c r="C206" s="166" t="s">
        <v>189</v>
      </c>
      <c r="D206" s="167">
        <v>500</v>
      </c>
      <c r="E206" s="168">
        <v>1000</v>
      </c>
      <c r="F206" s="169">
        <v>0.5</v>
      </c>
      <c r="G206" s="172"/>
      <c r="H206" s="173"/>
      <c r="I206" s="171">
        <v>0.5</v>
      </c>
      <c r="J206" s="167">
        <v>0.05</v>
      </c>
      <c r="K206" s="168" t="s">
        <v>46</v>
      </c>
      <c r="L206" s="169" t="s">
        <v>52</v>
      </c>
    </row>
    <row r="207" spans="1:12">
      <c r="A207" s="164">
        <v>2583</v>
      </c>
      <c r="B207" s="165" t="s">
        <v>150</v>
      </c>
      <c r="C207" s="166" t="s">
        <v>190</v>
      </c>
      <c r="D207" s="167">
        <v>763</v>
      </c>
      <c r="E207" s="168">
        <v>1000</v>
      </c>
      <c r="F207" s="169">
        <v>0.76</v>
      </c>
      <c r="G207" s="172"/>
      <c r="H207" s="173"/>
      <c r="I207" s="171">
        <v>0.76</v>
      </c>
      <c r="J207" s="167">
        <v>0.05</v>
      </c>
      <c r="K207" s="168" t="s">
        <v>46</v>
      </c>
      <c r="L207" s="169" t="s">
        <v>52</v>
      </c>
    </row>
    <row r="208" spans="1:12">
      <c r="A208" s="164">
        <v>2584</v>
      </c>
      <c r="B208" s="165" t="s">
        <v>150</v>
      </c>
      <c r="C208" s="166" t="s">
        <v>277</v>
      </c>
      <c r="D208" s="167">
        <v>109</v>
      </c>
      <c r="E208" s="168">
        <v>1000</v>
      </c>
      <c r="F208" s="169">
        <v>0.109</v>
      </c>
      <c r="G208" s="170">
        <v>172.5</v>
      </c>
      <c r="H208" s="168">
        <v>50</v>
      </c>
      <c r="I208" s="171">
        <v>3.45</v>
      </c>
      <c r="J208" s="167">
        <v>0.05</v>
      </c>
      <c r="K208" s="168" t="s">
        <v>46</v>
      </c>
      <c r="L208" s="169" t="s">
        <v>52</v>
      </c>
    </row>
    <row r="209" spans="1:12">
      <c r="A209" s="164">
        <v>2585</v>
      </c>
      <c r="B209" s="165" t="s">
        <v>150</v>
      </c>
      <c r="C209" s="166" t="s">
        <v>191</v>
      </c>
      <c r="D209" s="167">
        <v>969</v>
      </c>
      <c r="E209" s="168">
        <v>1000</v>
      </c>
      <c r="F209" s="169">
        <v>0.96899999999999997</v>
      </c>
      <c r="G209" s="170">
        <v>0.5</v>
      </c>
      <c r="H209" s="168">
        <v>50</v>
      </c>
      <c r="I209" s="171">
        <v>0.01</v>
      </c>
      <c r="J209" s="167">
        <v>0.05</v>
      </c>
      <c r="K209" s="168" t="s">
        <v>46</v>
      </c>
      <c r="L209" s="169" t="s">
        <v>52</v>
      </c>
    </row>
    <row r="210" spans="1:12">
      <c r="A210" s="164">
        <v>2586</v>
      </c>
      <c r="B210" s="165" t="s">
        <v>150</v>
      </c>
      <c r="C210" s="166" t="s">
        <v>192</v>
      </c>
      <c r="D210" s="167">
        <v>841</v>
      </c>
      <c r="E210" s="168">
        <v>1000</v>
      </c>
      <c r="F210" s="169">
        <v>0.84099999999999997</v>
      </c>
      <c r="G210" s="172"/>
      <c r="H210" s="173"/>
      <c r="I210" s="171">
        <v>0.84099999999999997</v>
      </c>
      <c r="J210" s="167">
        <v>0.05</v>
      </c>
      <c r="K210" s="168" t="s">
        <v>46</v>
      </c>
      <c r="L210" s="169" t="s">
        <v>52</v>
      </c>
    </row>
    <row r="211" spans="1:12">
      <c r="A211" s="164">
        <v>2587</v>
      </c>
      <c r="B211" s="165" t="s">
        <v>150</v>
      </c>
      <c r="C211" s="166" t="s">
        <v>193</v>
      </c>
      <c r="D211" s="167">
        <v>1000</v>
      </c>
      <c r="E211" s="168">
        <v>5000</v>
      </c>
      <c r="F211" s="169">
        <v>0.2</v>
      </c>
      <c r="G211" s="172"/>
      <c r="H211" s="173"/>
      <c r="I211" s="171">
        <v>0.2</v>
      </c>
      <c r="J211" s="167">
        <v>0.5</v>
      </c>
      <c r="K211" s="168" t="s">
        <v>66</v>
      </c>
      <c r="L211" s="169" t="s">
        <v>52</v>
      </c>
    </row>
    <row r="212" spans="1:12">
      <c r="A212" s="164">
        <v>2588</v>
      </c>
      <c r="B212" s="165" t="s">
        <v>150</v>
      </c>
      <c r="C212" s="166" t="s">
        <v>278</v>
      </c>
      <c r="D212" s="167">
        <v>4400</v>
      </c>
      <c r="E212" s="168">
        <v>1000</v>
      </c>
      <c r="F212" s="169">
        <v>4.4000000000000004</v>
      </c>
      <c r="G212" s="172"/>
      <c r="H212" s="173"/>
      <c r="I212" s="171">
        <v>4.4000000000000004</v>
      </c>
      <c r="J212" s="167">
        <v>0.5</v>
      </c>
      <c r="K212" s="168" t="s">
        <v>66</v>
      </c>
      <c r="L212" s="169" t="s">
        <v>52</v>
      </c>
    </row>
    <row r="213" spans="1:12">
      <c r="A213" s="164">
        <v>2589</v>
      </c>
      <c r="B213" s="165" t="s">
        <v>150</v>
      </c>
      <c r="C213" s="166" t="s">
        <v>279</v>
      </c>
      <c r="D213" s="167">
        <v>1.8</v>
      </c>
      <c r="E213" s="168">
        <v>1000</v>
      </c>
      <c r="F213" s="169">
        <v>1.8E-3</v>
      </c>
      <c r="G213" s="172"/>
      <c r="H213" s="173"/>
      <c r="I213" s="171">
        <v>1.8E-3</v>
      </c>
      <c r="J213" s="167">
        <v>0.05</v>
      </c>
      <c r="K213" s="168" t="s">
        <v>46</v>
      </c>
      <c r="L213" s="169" t="s">
        <v>52</v>
      </c>
    </row>
    <row r="214" spans="1:12">
      <c r="A214" s="164">
        <v>2590</v>
      </c>
      <c r="B214" s="165" t="s">
        <v>150</v>
      </c>
      <c r="C214" s="166" t="s">
        <v>194</v>
      </c>
      <c r="D214" s="167">
        <v>100</v>
      </c>
      <c r="E214" s="168">
        <v>5000</v>
      </c>
      <c r="F214" s="169">
        <v>0.02</v>
      </c>
      <c r="G214" s="172"/>
      <c r="H214" s="173"/>
      <c r="I214" s="171">
        <v>0.02</v>
      </c>
      <c r="J214" s="167">
        <v>0.5</v>
      </c>
      <c r="K214" s="168" t="s">
        <v>66</v>
      </c>
      <c r="L214" s="169" t="s">
        <v>52</v>
      </c>
    </row>
    <row r="215" spans="1:12">
      <c r="A215" s="164">
        <v>2591</v>
      </c>
      <c r="B215" s="165" t="s">
        <v>150</v>
      </c>
      <c r="C215" s="166" t="s">
        <v>280</v>
      </c>
      <c r="D215" s="167">
        <v>10000</v>
      </c>
      <c r="E215" s="168">
        <v>10000</v>
      </c>
      <c r="F215" s="169">
        <v>1</v>
      </c>
      <c r="G215" s="172"/>
      <c r="H215" s="173"/>
      <c r="I215" s="171">
        <v>1</v>
      </c>
      <c r="J215" s="167">
        <v>0.05</v>
      </c>
      <c r="K215" s="168" t="s">
        <v>46</v>
      </c>
      <c r="L215" s="169" t="s">
        <v>52</v>
      </c>
    </row>
    <row r="216" spans="1:12">
      <c r="A216" s="164">
        <v>2592</v>
      </c>
      <c r="B216" s="165" t="s">
        <v>150</v>
      </c>
      <c r="C216" s="166" t="s">
        <v>281</v>
      </c>
      <c r="D216" s="167">
        <v>100</v>
      </c>
      <c r="E216" s="168">
        <v>1000</v>
      </c>
      <c r="F216" s="169">
        <v>0.1</v>
      </c>
      <c r="G216" s="170">
        <v>100</v>
      </c>
      <c r="H216" s="168">
        <v>50</v>
      </c>
      <c r="I216" s="171">
        <v>2</v>
      </c>
      <c r="J216" s="167">
        <v>0.05</v>
      </c>
      <c r="K216" s="168" t="s">
        <v>46</v>
      </c>
      <c r="L216" s="169" t="s">
        <v>50</v>
      </c>
    </row>
    <row r="217" spans="1:12">
      <c r="A217" s="164">
        <v>2593</v>
      </c>
      <c r="B217" s="165" t="s">
        <v>150</v>
      </c>
      <c r="C217" s="166" t="s">
        <v>195</v>
      </c>
      <c r="D217" s="167">
        <v>209</v>
      </c>
      <c r="E217" s="168">
        <v>5000</v>
      </c>
      <c r="F217" s="169">
        <v>4.1799999999999997E-2</v>
      </c>
      <c r="G217" s="172"/>
      <c r="H217" s="173"/>
      <c r="I217" s="171">
        <v>4.1799999999999997E-2</v>
      </c>
      <c r="J217" s="167">
        <v>1</v>
      </c>
      <c r="K217" s="168" t="s">
        <v>139</v>
      </c>
      <c r="L217" s="169" t="s">
        <v>52</v>
      </c>
    </row>
    <row r="218" spans="1:12">
      <c r="A218" s="164">
        <v>2594</v>
      </c>
      <c r="B218" s="165" t="s">
        <v>150</v>
      </c>
      <c r="C218" s="166" t="s">
        <v>196</v>
      </c>
      <c r="D218" s="167">
        <v>188</v>
      </c>
      <c r="E218" s="168">
        <v>5000</v>
      </c>
      <c r="F218" s="169">
        <v>3.7600000000000001E-2</v>
      </c>
      <c r="G218" s="172"/>
      <c r="H218" s="173"/>
      <c r="I218" s="171">
        <v>3.7600000000000001E-2</v>
      </c>
      <c r="J218" s="167">
        <v>1</v>
      </c>
      <c r="K218" s="168" t="s">
        <v>139</v>
      </c>
      <c r="L218" s="169" t="s">
        <v>52</v>
      </c>
    </row>
    <row r="219" spans="1:12">
      <c r="A219" s="164">
        <v>2595</v>
      </c>
      <c r="B219" s="165" t="s">
        <v>150</v>
      </c>
      <c r="C219" s="166" t="s">
        <v>197</v>
      </c>
      <c r="D219" s="167">
        <v>600</v>
      </c>
      <c r="E219" s="168">
        <v>1000</v>
      </c>
      <c r="F219" s="169">
        <v>0.6</v>
      </c>
      <c r="G219" s="170">
        <v>12.5</v>
      </c>
      <c r="H219" s="168">
        <v>50</v>
      </c>
      <c r="I219" s="171">
        <v>0.25</v>
      </c>
      <c r="J219" s="167">
        <v>0.05</v>
      </c>
      <c r="K219" s="168" t="s">
        <v>46</v>
      </c>
      <c r="L219" s="169" t="s">
        <v>52</v>
      </c>
    </row>
    <row r="220" spans="1:12">
      <c r="A220" s="164">
        <v>2596</v>
      </c>
      <c r="B220" s="165" t="s">
        <v>150</v>
      </c>
      <c r="C220" s="166" t="s">
        <v>282</v>
      </c>
      <c r="D220" s="167">
        <v>490</v>
      </c>
      <c r="E220" s="168">
        <v>1000</v>
      </c>
      <c r="F220" s="169">
        <v>0.49</v>
      </c>
      <c r="G220" s="172"/>
      <c r="H220" s="173"/>
      <c r="I220" s="171">
        <v>0.49</v>
      </c>
      <c r="J220" s="167">
        <v>0.05</v>
      </c>
      <c r="K220" s="168" t="s">
        <v>46</v>
      </c>
      <c r="L220" s="169" t="s">
        <v>52</v>
      </c>
    </row>
    <row r="221" spans="1:12">
      <c r="A221" s="164">
        <v>2597</v>
      </c>
      <c r="B221" s="165" t="s">
        <v>150</v>
      </c>
      <c r="C221" s="166" t="s">
        <v>198</v>
      </c>
      <c r="D221" s="167">
        <v>18</v>
      </c>
      <c r="E221" s="168">
        <v>1000</v>
      </c>
      <c r="F221" s="169">
        <v>1.7999999999999999E-2</v>
      </c>
      <c r="G221" s="170">
        <v>3.3</v>
      </c>
      <c r="H221" s="168">
        <v>100</v>
      </c>
      <c r="I221" s="171">
        <v>3.3000000000000002E-2</v>
      </c>
      <c r="J221" s="167">
        <v>0.05</v>
      </c>
      <c r="K221" s="168" t="s">
        <v>46</v>
      </c>
      <c r="L221" s="169" t="s">
        <v>52</v>
      </c>
    </row>
    <row r="222" spans="1:12">
      <c r="A222" s="164">
        <v>2598</v>
      </c>
      <c r="B222" s="165" t="s">
        <v>150</v>
      </c>
      <c r="C222" s="166" t="s">
        <v>283</v>
      </c>
      <c r="D222" s="167">
        <v>75</v>
      </c>
      <c r="E222" s="168">
        <v>1000</v>
      </c>
      <c r="F222" s="169">
        <v>7.4999999999999997E-2</v>
      </c>
      <c r="G222" s="170">
        <v>5.6</v>
      </c>
      <c r="H222" s="168">
        <v>50</v>
      </c>
      <c r="I222" s="171">
        <v>0.112</v>
      </c>
      <c r="J222" s="167">
        <v>1</v>
      </c>
      <c r="K222" s="168" t="s">
        <v>139</v>
      </c>
      <c r="L222" s="169" t="s">
        <v>52</v>
      </c>
    </row>
    <row r="223" spans="1:12">
      <c r="A223" s="164">
        <v>2599</v>
      </c>
      <c r="B223" s="165" t="s">
        <v>150</v>
      </c>
      <c r="C223" s="166" t="s">
        <v>199</v>
      </c>
      <c r="D223" s="167">
        <v>100</v>
      </c>
      <c r="E223" s="168">
        <v>1000</v>
      </c>
      <c r="F223" s="169">
        <v>0.1</v>
      </c>
      <c r="G223" s="170">
        <v>120</v>
      </c>
      <c r="H223" s="168">
        <v>100</v>
      </c>
      <c r="I223" s="171">
        <v>1.2</v>
      </c>
      <c r="J223" s="167">
        <v>0.5</v>
      </c>
      <c r="K223" s="168" t="s">
        <v>66</v>
      </c>
      <c r="L223" s="169" t="s">
        <v>52</v>
      </c>
    </row>
    <row r="224" spans="1:12">
      <c r="A224" s="164">
        <v>2600</v>
      </c>
      <c r="B224" s="165" t="s">
        <v>150</v>
      </c>
      <c r="C224" s="166" t="s">
        <v>200</v>
      </c>
      <c r="D224" s="167">
        <v>120</v>
      </c>
      <c r="E224" s="168">
        <v>1000</v>
      </c>
      <c r="F224" s="169">
        <v>0.12</v>
      </c>
      <c r="G224" s="170">
        <v>120</v>
      </c>
      <c r="H224" s="168">
        <v>100</v>
      </c>
      <c r="I224" s="171">
        <v>1.2</v>
      </c>
      <c r="J224" s="167">
        <v>1</v>
      </c>
      <c r="K224" s="168" t="s">
        <v>139</v>
      </c>
      <c r="L224" s="169" t="s">
        <v>52</v>
      </c>
    </row>
    <row r="225" spans="1:12">
      <c r="A225" s="164">
        <v>2601</v>
      </c>
      <c r="B225" s="165" t="s">
        <v>150</v>
      </c>
      <c r="C225" s="166" t="s">
        <v>201</v>
      </c>
      <c r="D225" s="167">
        <v>120</v>
      </c>
      <c r="E225" s="168">
        <v>1000</v>
      </c>
      <c r="F225" s="169">
        <v>0.12</v>
      </c>
      <c r="G225" s="170">
        <v>120</v>
      </c>
      <c r="H225" s="168">
        <v>100</v>
      </c>
      <c r="I225" s="171">
        <v>1.2</v>
      </c>
      <c r="J225" s="167">
        <v>0.5</v>
      </c>
      <c r="K225" s="168" t="s">
        <v>66</v>
      </c>
      <c r="L225" s="169" t="s">
        <v>52</v>
      </c>
    </row>
    <row r="226" spans="1:12">
      <c r="A226" s="164">
        <v>2602</v>
      </c>
      <c r="B226" s="165" t="s">
        <v>150</v>
      </c>
      <c r="C226" s="166" t="s">
        <v>202</v>
      </c>
      <c r="D226" s="167">
        <v>38</v>
      </c>
      <c r="E226" s="168">
        <v>1000</v>
      </c>
      <c r="F226" s="169">
        <v>3.7999999999999999E-2</v>
      </c>
      <c r="G226" s="172"/>
      <c r="H226" s="173"/>
      <c r="I226" s="171">
        <v>3.7999999999999999E-2</v>
      </c>
      <c r="J226" s="167">
        <v>1</v>
      </c>
      <c r="K226" s="168" t="s">
        <v>139</v>
      </c>
      <c r="L226" s="169" t="s">
        <v>52</v>
      </c>
    </row>
    <row r="227" spans="1:12">
      <c r="A227" s="164">
        <v>2603</v>
      </c>
      <c r="B227" s="165" t="s">
        <v>150</v>
      </c>
      <c r="C227" s="166" t="s">
        <v>284</v>
      </c>
      <c r="D227" s="167">
        <v>100</v>
      </c>
      <c r="E227" s="168">
        <v>5000</v>
      </c>
      <c r="F227" s="169">
        <v>0.02</v>
      </c>
      <c r="G227" s="172"/>
      <c r="H227" s="173"/>
      <c r="I227" s="171">
        <v>0.02</v>
      </c>
      <c r="J227" s="167">
        <v>1</v>
      </c>
      <c r="K227" s="168" t="s">
        <v>139</v>
      </c>
      <c r="L227" s="169" t="s">
        <v>47</v>
      </c>
    </row>
    <row r="228" spans="1:12">
      <c r="A228" s="164">
        <v>2604</v>
      </c>
      <c r="B228" s="165" t="s">
        <v>150</v>
      </c>
      <c r="C228" s="166" t="s">
        <v>203</v>
      </c>
      <c r="D228" s="167">
        <v>13</v>
      </c>
      <c r="E228" s="168">
        <v>5000</v>
      </c>
      <c r="F228" s="169">
        <v>2.5999999999999999E-3</v>
      </c>
      <c r="G228" s="172"/>
      <c r="H228" s="173"/>
      <c r="I228" s="171">
        <v>2.5999999999999999E-3</v>
      </c>
      <c r="J228" s="167">
        <v>1</v>
      </c>
      <c r="K228" s="168" t="s">
        <v>52</v>
      </c>
      <c r="L228" s="169" t="s">
        <v>52</v>
      </c>
    </row>
    <row r="229" spans="1:12">
      <c r="A229" s="164">
        <v>2605</v>
      </c>
      <c r="B229" s="165" t="s">
        <v>150</v>
      </c>
      <c r="C229" s="166" t="s">
        <v>285</v>
      </c>
      <c r="D229" s="167">
        <v>40.700000000000003</v>
      </c>
      <c r="E229" s="168">
        <v>1000</v>
      </c>
      <c r="F229" s="169">
        <v>4.07E-2</v>
      </c>
      <c r="G229" s="172"/>
      <c r="H229" s="173"/>
      <c r="I229" s="171">
        <v>4.07E-2</v>
      </c>
      <c r="J229" s="167">
        <v>0.05</v>
      </c>
      <c r="K229" s="168" t="s">
        <v>46</v>
      </c>
      <c r="L229" s="169" t="s">
        <v>52</v>
      </c>
    </row>
    <row r="230" spans="1:12">
      <c r="A230" s="164">
        <v>2606</v>
      </c>
      <c r="B230" s="165" t="s">
        <v>150</v>
      </c>
      <c r="C230" s="166" t="s">
        <v>286</v>
      </c>
      <c r="D230" s="167">
        <v>528</v>
      </c>
      <c r="E230" s="168">
        <v>1000</v>
      </c>
      <c r="F230" s="169">
        <v>0.52800000000000002</v>
      </c>
      <c r="G230" s="172"/>
      <c r="H230" s="173"/>
      <c r="I230" s="171">
        <v>0.52800000000000002</v>
      </c>
      <c r="J230" s="167">
        <v>0.05</v>
      </c>
      <c r="K230" s="168" t="s">
        <v>46</v>
      </c>
      <c r="L230" s="169" t="s">
        <v>47</v>
      </c>
    </row>
    <row r="231" spans="1:12">
      <c r="A231" s="164">
        <v>2607</v>
      </c>
      <c r="B231" s="165" t="s">
        <v>150</v>
      </c>
      <c r="C231" s="166" t="s">
        <v>204</v>
      </c>
      <c r="D231" s="167">
        <v>39</v>
      </c>
      <c r="E231" s="168">
        <v>1000</v>
      </c>
      <c r="F231" s="169">
        <v>3.9E-2</v>
      </c>
      <c r="G231" s="170">
        <v>4.3</v>
      </c>
      <c r="H231" s="168">
        <v>100</v>
      </c>
      <c r="I231" s="171">
        <v>4.2999999999999997E-2</v>
      </c>
      <c r="J231" s="167">
        <v>0.5</v>
      </c>
      <c r="K231" s="168" t="s">
        <v>66</v>
      </c>
      <c r="L231" s="169" t="s">
        <v>52</v>
      </c>
    </row>
    <row r="232" spans="1:12">
      <c r="A232" s="164">
        <v>2608</v>
      </c>
      <c r="B232" s="165" t="s">
        <v>150</v>
      </c>
      <c r="C232" s="166" t="s">
        <v>205</v>
      </c>
      <c r="D232" s="167">
        <v>100</v>
      </c>
      <c r="E232" s="168">
        <v>1000</v>
      </c>
      <c r="F232" s="169">
        <v>0.1</v>
      </c>
      <c r="G232" s="170">
        <v>100</v>
      </c>
      <c r="H232" s="168">
        <v>10</v>
      </c>
      <c r="I232" s="171">
        <v>10</v>
      </c>
      <c r="J232" s="167">
        <v>0.05</v>
      </c>
      <c r="K232" s="168" t="s">
        <v>46</v>
      </c>
      <c r="L232" s="169" t="s">
        <v>50</v>
      </c>
    </row>
    <row r="233" spans="1:12">
      <c r="A233" s="164">
        <v>2609</v>
      </c>
      <c r="B233" s="165" t="s">
        <v>150</v>
      </c>
      <c r="C233" s="166" t="s">
        <v>206</v>
      </c>
      <c r="D233" s="167">
        <v>100</v>
      </c>
      <c r="E233" s="168">
        <v>1000</v>
      </c>
      <c r="F233" s="169">
        <v>0.1</v>
      </c>
      <c r="G233" s="170">
        <v>100</v>
      </c>
      <c r="H233" s="168">
        <v>50</v>
      </c>
      <c r="I233" s="171">
        <v>2</v>
      </c>
      <c r="J233" s="167">
        <v>1</v>
      </c>
      <c r="K233" s="168" t="s">
        <v>139</v>
      </c>
      <c r="L233" s="169" t="s">
        <v>52</v>
      </c>
    </row>
    <row r="234" spans="1:12">
      <c r="A234" s="164">
        <v>2610</v>
      </c>
      <c r="B234" s="165" t="s">
        <v>150</v>
      </c>
      <c r="C234" s="166" t="s">
        <v>207</v>
      </c>
      <c r="D234" s="167">
        <v>100</v>
      </c>
      <c r="E234" s="168">
        <v>1000</v>
      </c>
      <c r="F234" s="169">
        <v>0.1</v>
      </c>
      <c r="G234" s="172"/>
      <c r="H234" s="173"/>
      <c r="I234" s="171">
        <v>0.1</v>
      </c>
      <c r="J234" s="167">
        <v>0.05</v>
      </c>
      <c r="K234" s="168" t="s">
        <v>46</v>
      </c>
      <c r="L234" s="169" t="s">
        <v>52</v>
      </c>
    </row>
    <row r="235" spans="1:12">
      <c r="A235" s="164">
        <v>2611</v>
      </c>
      <c r="B235" s="165" t="s">
        <v>150</v>
      </c>
      <c r="C235" s="166" t="s">
        <v>208</v>
      </c>
      <c r="D235" s="167">
        <v>100</v>
      </c>
      <c r="E235" s="168">
        <v>1000</v>
      </c>
      <c r="F235" s="169">
        <v>0.1</v>
      </c>
      <c r="G235" s="172"/>
      <c r="H235" s="173"/>
      <c r="I235" s="171">
        <v>0.1</v>
      </c>
      <c r="J235" s="167">
        <v>1</v>
      </c>
      <c r="K235" s="168" t="s">
        <v>139</v>
      </c>
      <c r="L235" s="169" t="s">
        <v>52</v>
      </c>
    </row>
    <row r="236" spans="1:12">
      <c r="A236" s="164">
        <v>2612</v>
      </c>
      <c r="B236" s="165" t="s">
        <v>150</v>
      </c>
      <c r="C236" s="166" t="s">
        <v>209</v>
      </c>
      <c r="D236" s="167">
        <v>100</v>
      </c>
      <c r="E236" s="168">
        <v>1000</v>
      </c>
      <c r="F236" s="169">
        <v>0.1</v>
      </c>
      <c r="G236" s="172"/>
      <c r="H236" s="173"/>
      <c r="I236" s="171">
        <v>0.1</v>
      </c>
      <c r="J236" s="167">
        <v>1</v>
      </c>
      <c r="K236" s="168" t="s">
        <v>139</v>
      </c>
      <c r="L236" s="169" t="s">
        <v>52</v>
      </c>
    </row>
    <row r="237" spans="1:12">
      <c r="A237" s="164">
        <v>2613</v>
      </c>
      <c r="B237" s="165" t="s">
        <v>150</v>
      </c>
      <c r="C237" s="166" t="s">
        <v>210</v>
      </c>
      <c r="D237" s="167">
        <v>100</v>
      </c>
      <c r="E237" s="168">
        <v>1000</v>
      </c>
      <c r="F237" s="169">
        <v>0.1</v>
      </c>
      <c r="G237" s="172"/>
      <c r="H237" s="173"/>
      <c r="I237" s="171">
        <v>0.1</v>
      </c>
      <c r="J237" s="167">
        <v>1</v>
      </c>
      <c r="K237" s="168" t="s">
        <v>139</v>
      </c>
      <c r="L237" s="169" t="s">
        <v>52</v>
      </c>
    </row>
    <row r="238" spans="1:12">
      <c r="A238" s="164">
        <v>2614</v>
      </c>
      <c r="B238" s="165" t="s">
        <v>150</v>
      </c>
      <c r="C238" s="166" t="s">
        <v>211</v>
      </c>
      <c r="D238" s="167">
        <v>100</v>
      </c>
      <c r="E238" s="168">
        <v>1000</v>
      </c>
      <c r="F238" s="169">
        <v>0.1</v>
      </c>
      <c r="G238" s="172"/>
      <c r="H238" s="173"/>
      <c r="I238" s="171">
        <v>0.1</v>
      </c>
      <c r="J238" s="167">
        <v>1</v>
      </c>
      <c r="K238" s="168" t="s">
        <v>139</v>
      </c>
      <c r="L238" s="169" t="s">
        <v>52</v>
      </c>
    </row>
    <row r="239" spans="1:12">
      <c r="A239" s="164">
        <v>2615</v>
      </c>
      <c r="B239" s="165" t="s">
        <v>150</v>
      </c>
      <c r="C239" s="166" t="s">
        <v>212</v>
      </c>
      <c r="D239" s="167">
        <v>0.59</v>
      </c>
      <c r="E239" s="168">
        <v>5000</v>
      </c>
      <c r="F239" s="169">
        <v>1.18E-4</v>
      </c>
      <c r="G239" s="172"/>
      <c r="H239" s="173"/>
      <c r="I239" s="171">
        <v>1.18E-4</v>
      </c>
      <c r="J239" s="167">
        <v>0.05</v>
      </c>
      <c r="K239" s="168" t="s">
        <v>46</v>
      </c>
      <c r="L239" s="169" t="s">
        <v>52</v>
      </c>
    </row>
    <row r="240" spans="1:12">
      <c r="A240" s="164">
        <v>2616</v>
      </c>
      <c r="B240" s="165" t="s">
        <v>150</v>
      </c>
      <c r="C240" s="166" t="s">
        <v>213</v>
      </c>
      <c r="D240" s="167">
        <v>7.4</v>
      </c>
      <c r="E240" s="168">
        <v>1000</v>
      </c>
      <c r="F240" s="169">
        <v>7.4000000000000003E-3</v>
      </c>
      <c r="G240" s="172"/>
      <c r="H240" s="173"/>
      <c r="I240" s="171">
        <v>7.4000000000000003E-3</v>
      </c>
      <c r="J240" s="167">
        <v>0.05</v>
      </c>
      <c r="K240" s="168" t="s">
        <v>46</v>
      </c>
      <c r="L240" s="169" t="s">
        <v>52</v>
      </c>
    </row>
    <row r="241" spans="1:12">
      <c r="A241" s="164">
        <v>2617</v>
      </c>
      <c r="B241" s="165" t="s">
        <v>150</v>
      </c>
      <c r="C241" s="166" t="s">
        <v>214</v>
      </c>
      <c r="D241" s="167">
        <v>100</v>
      </c>
      <c r="E241" s="168">
        <v>5000</v>
      </c>
      <c r="F241" s="169">
        <v>0.02</v>
      </c>
      <c r="G241" s="172"/>
      <c r="H241" s="173"/>
      <c r="I241" s="171">
        <v>0.02</v>
      </c>
      <c r="J241" s="167">
        <v>0.05</v>
      </c>
      <c r="K241" s="168" t="s">
        <v>46</v>
      </c>
      <c r="L241" s="169" t="s">
        <v>52</v>
      </c>
    </row>
    <row r="242" spans="1:12">
      <c r="A242" s="164">
        <v>2618</v>
      </c>
      <c r="B242" s="165" t="s">
        <v>150</v>
      </c>
      <c r="C242" s="166" t="s">
        <v>215</v>
      </c>
      <c r="D242" s="167">
        <v>100</v>
      </c>
      <c r="E242" s="168">
        <v>1000</v>
      </c>
      <c r="F242" s="169">
        <v>0.1</v>
      </c>
      <c r="G242" s="172"/>
      <c r="H242" s="173"/>
      <c r="I242" s="171">
        <v>0.1</v>
      </c>
      <c r="J242" s="167">
        <v>0.05</v>
      </c>
      <c r="K242" s="168" t="s">
        <v>46</v>
      </c>
      <c r="L242" s="169" t="s">
        <v>52</v>
      </c>
    </row>
    <row r="243" spans="1:12">
      <c r="A243" s="164">
        <v>2619</v>
      </c>
      <c r="B243" s="165" t="s">
        <v>150</v>
      </c>
      <c r="C243" s="166" t="s">
        <v>216</v>
      </c>
      <c r="D243" s="167">
        <v>2.2000000000000002</v>
      </c>
      <c r="E243" s="168">
        <v>1000</v>
      </c>
      <c r="F243" s="169">
        <v>2.2000000000000001E-3</v>
      </c>
      <c r="G243" s="172"/>
      <c r="H243" s="173"/>
      <c r="I243" s="171">
        <v>2.2000000000000001E-3</v>
      </c>
      <c r="J243" s="167">
        <v>0.05</v>
      </c>
      <c r="K243" s="168" t="s">
        <v>46</v>
      </c>
      <c r="L243" s="169" t="s">
        <v>50</v>
      </c>
    </row>
    <row r="244" spans="1:12">
      <c r="A244" s="164">
        <v>2620</v>
      </c>
      <c r="B244" s="165" t="s">
        <v>150</v>
      </c>
      <c r="C244" s="166" t="s">
        <v>217</v>
      </c>
      <c r="D244" s="167">
        <v>100</v>
      </c>
      <c r="E244" s="168">
        <v>1000</v>
      </c>
      <c r="F244" s="169">
        <v>0.1</v>
      </c>
      <c r="G244" s="170">
        <v>100</v>
      </c>
      <c r="H244" s="168">
        <v>50</v>
      </c>
      <c r="I244" s="171">
        <v>2</v>
      </c>
      <c r="J244" s="167">
        <v>0.05</v>
      </c>
      <c r="K244" s="168" t="s">
        <v>46</v>
      </c>
      <c r="L244" s="169" t="s">
        <v>52</v>
      </c>
    </row>
    <row r="245" spans="1:12" ht="13.5" thickBot="1">
      <c r="A245" s="176">
        <v>2621</v>
      </c>
      <c r="B245" s="177" t="s">
        <v>150</v>
      </c>
      <c r="C245" s="178" t="s">
        <v>218</v>
      </c>
      <c r="D245" s="179">
        <v>100</v>
      </c>
      <c r="E245" s="180">
        <v>1000</v>
      </c>
      <c r="F245" s="181">
        <v>0.1</v>
      </c>
      <c r="G245" s="186"/>
      <c r="H245" s="187"/>
      <c r="I245" s="183">
        <v>0.1</v>
      </c>
      <c r="J245" s="179">
        <v>1</v>
      </c>
      <c r="K245" s="180" t="s">
        <v>139</v>
      </c>
      <c r="L245" s="181" t="s">
        <v>47</v>
      </c>
    </row>
  </sheetData>
  <sheetProtection algorithmName="SHA-512" hashValue="Wx1fmWDqGsF0UFlUeD956QXn+zHS17fmk0MiMLhSFEaVhHChbQE1otINDotQxGy1yZgc+Hb4/nZWCPBXaqoIag==" saltValue="drFPWqy7RIwxX56cVPT6sA==" spinCount="100000" sheet="1" objects="1" scenarios="1"/>
  <mergeCells count="13">
    <mergeCell ref="A4:C4"/>
    <mergeCell ref="D4:F4"/>
    <mergeCell ref="G4:I4"/>
    <mergeCell ref="J4:L4"/>
    <mergeCell ref="L5:L7"/>
    <mergeCell ref="G5:G7"/>
    <mergeCell ref="D5:D7"/>
    <mergeCell ref="E5:E7"/>
    <mergeCell ref="F5:F7"/>
    <mergeCell ref="J5:J7"/>
    <mergeCell ref="K5:K7"/>
    <mergeCell ref="I5:I7"/>
    <mergeCell ref="H5:H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CEAACC6EAA3A4594D7AE8916DBFFDB" ma:contentTypeVersion="6" ma:contentTypeDescription="Crea un document nou" ma:contentTypeScope="" ma:versionID="d56dd138a47437faa587ac96b89fa1be">
  <xsd:schema xmlns:xsd="http://www.w3.org/2001/XMLSchema" xmlns:xs="http://www.w3.org/2001/XMLSchema" xmlns:p="http://schemas.microsoft.com/office/2006/metadata/properties" xmlns:ns2="2cc65c86-8842-4aee-9643-e6b8d3bf5c88" xmlns:ns3="ab0c294e-a10a-42ab-86c7-9e50b6a06f5a" targetNamespace="http://schemas.microsoft.com/office/2006/metadata/properties" ma:root="true" ma:fieldsID="031208e18e4aeab4cc80f52c1acfdd93" ns2:_="" ns3:_="">
    <xsd:import namespace="2cc65c86-8842-4aee-9643-e6b8d3bf5c88"/>
    <xsd:import namespace="ab0c294e-a10a-42ab-86c7-9e50b6a06f5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65c86-8842-4aee-9643-e6b8d3bf5c88"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0c294e-a10a-42ab-86c7-9e50b6a06f5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0D4D07-E866-4376-A8E3-8AFDB2911A94}">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ab0c294e-a10a-42ab-86c7-9e50b6a06f5a"/>
    <ds:schemaRef ds:uri="http://schemas.microsoft.com/office/infopath/2007/PartnerControls"/>
    <ds:schemaRef ds:uri="2cc65c86-8842-4aee-9643-e6b8d3bf5c88"/>
    <ds:schemaRef ds:uri="http://purl.org/dc/dcmitype/"/>
  </ds:schemaRefs>
</ds:datastoreItem>
</file>

<file path=customXml/itemProps2.xml><?xml version="1.0" encoding="utf-8"?>
<ds:datastoreItem xmlns:ds="http://schemas.openxmlformats.org/officeDocument/2006/customXml" ds:itemID="{114AF5C8-F518-4F8C-897E-EFEFD417F41C}">
  <ds:schemaRefs>
    <ds:schemaRef ds:uri="http://schemas.microsoft.com/sharepoint/v3/contenttype/forms"/>
  </ds:schemaRefs>
</ds:datastoreItem>
</file>

<file path=customXml/itemProps3.xml><?xml version="1.0" encoding="utf-8"?>
<ds:datastoreItem xmlns:ds="http://schemas.openxmlformats.org/officeDocument/2006/customXml" ds:itemID="{A16D56AA-57F6-4F85-B9C0-4D019F34C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c65c86-8842-4aee-9643-e6b8d3bf5c88"/>
    <ds:schemaRef ds:uri="ab0c294e-a10a-42ab-86c7-9e50b6a06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2</vt:i4>
      </vt:variant>
    </vt:vector>
  </HeadingPairs>
  <TitlesOfParts>
    <vt:vector size="13" baseType="lpstr">
      <vt:lpstr>Confirmation</vt:lpstr>
      <vt:lpstr>Product formulation</vt:lpstr>
      <vt:lpstr>Ingoing substances</vt:lpstr>
      <vt:lpstr>Rinse-off - DID</vt:lpstr>
      <vt:lpstr>Results 1&amp;2</vt:lpstr>
      <vt:lpstr>Results 4</vt:lpstr>
      <vt:lpstr>Results 5</vt:lpstr>
      <vt:lpstr>Declaration-Rinse-off products</vt:lpstr>
      <vt:lpstr>DID-list_Part A</vt:lpstr>
      <vt:lpstr>DID-list_Part B</vt:lpstr>
      <vt:lpstr>Hoja2</vt:lpstr>
      <vt:lpstr>Trade_name</vt:lpstr>
      <vt:lpstr>Weight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Rosa Riera</dc:creator>
  <cp:keywords/>
  <dc:description/>
  <cp:lastModifiedBy>Charlotte Wedel Friis</cp:lastModifiedBy>
  <cp:revision/>
  <dcterms:created xsi:type="dcterms:W3CDTF">2017-01-09T10:51:05Z</dcterms:created>
  <dcterms:modified xsi:type="dcterms:W3CDTF">2021-11-24T08:44:19Z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0x010100E6CEAACC6EAA3A4594D7AE8916DBFFDB</vt:lpwstr>
  </property>
</Properties>
</file>