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codeName="ThisWorkbook"/>
  <mc:AlternateContent xmlns:mc="http://schemas.openxmlformats.org/markup-compatibility/2006">
    <mc:Choice Requires="x15">
      <x15ac:absPath xmlns:x15ac="http://schemas.microsoft.com/office/spreadsheetml/2010/11/ac" url="O:\Miljø - Sekretariat\ESM\Kriterieredaktør\Kriterier Blomsten\EU54 - Produkter til pleje af dyr\"/>
    </mc:Choice>
  </mc:AlternateContent>
  <xr:revisionPtr revIDLastSave="0" documentId="8_{49FA2B53-5D94-40D0-92D7-333D29B0F09B}" xr6:coauthVersionLast="47" xr6:coauthVersionMax="47" xr10:uidLastSave="{00000000-0000-0000-0000-000000000000}"/>
  <bookViews>
    <workbookView xWindow="-120" yWindow="-120" windowWidth="29040" windowHeight="15720" tabRatio="874" xr2:uid="{00000000-000D-0000-FFFF-FFFF00000000}"/>
  </bookViews>
  <sheets>
    <sheet name="Confirmation" sheetId="30" r:id="rId1"/>
    <sheet name="Product formulation" sheetId="12" r:id="rId2"/>
    <sheet name="Ingoing substances" sheetId="15" r:id="rId3"/>
    <sheet name="Rinse-off - DID" sheetId="17" r:id="rId4"/>
    <sheet name="Results 1&amp;2" sheetId="19" r:id="rId5"/>
    <sheet name="Results 4 Rinse-off" sheetId="25" r:id="rId6"/>
    <sheet name="Results 5" sheetId="24" r:id="rId7"/>
    <sheet name="Declaration-Rinse-off products" sheetId="21" r:id="rId8"/>
    <sheet name="2023 DID-list_Part A" sheetId="18" r:id="rId9"/>
    <sheet name="2023 DID-list_Part B" sheetId="28" r:id="rId10"/>
    <sheet name="Hoja2" sheetId="13" r:id="rId11"/>
  </sheets>
  <definedNames>
    <definedName name="_xlnm._FilterDatabase" localSheetId="2" hidden="1">'Ingoing substances'!$B$8:$B$60</definedName>
    <definedName name="_xlnm._FilterDatabase" localSheetId="1" hidden="1">'Product formulation'!$B$6:$B$38</definedName>
    <definedName name="_xlnm._FilterDatabase" localSheetId="4" hidden="1">'Results 1&amp;2'!$B$8:$B$62</definedName>
    <definedName name="_xlnm._FilterDatabase" localSheetId="5" hidden="1">'Results 4 Rinse-off'!#REF!</definedName>
    <definedName name="_xlnm._FilterDatabase" localSheetId="6" hidden="1">'Results 5'!$B$8:$B$59</definedName>
    <definedName name="_xlnm._FilterDatabase" localSheetId="3" hidden="1">'Rinse-off - DID'!$B$8:$B$59</definedName>
    <definedName name="leave">Hoja2!$B$53:$B$60</definedName>
    <definedName name="rinse">Hoja2!$B$62:$B$67</definedName>
    <definedName name="Trade_name">'Product formulation'!$B$9:$B$37</definedName>
    <definedName name="Weight">'Product formulation'!$E$9:$E$37</definedName>
  </definedNames>
  <calcPr calcId="191029"/>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5" l="1"/>
  <c r="H35" i="25"/>
  <c r="J56" i="25" l="1"/>
  <c r="L19" i="25" l="1"/>
  <c r="G9" i="25"/>
  <c r="G13" i="25"/>
  <c r="I27" i="25"/>
  <c r="D27" i="25" l="1"/>
  <c r="E11" i="25"/>
  <c r="G10" i="25"/>
  <c r="H12" i="24" l="1"/>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H59" i="24"/>
  <c r="H11" i="24"/>
  <c r="N25" i="21" l="1"/>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C3" i="12" l="1"/>
  <c r="C4" i="12"/>
  <c r="C2" i="12"/>
  <c r="I61" i="19" l="1"/>
  <c r="J61" i="19"/>
  <c r="F61" i="19"/>
  <c r="O12" i="15"/>
  <c r="P12" i="15"/>
  <c r="Q12" i="15"/>
  <c r="O13" i="15"/>
  <c r="P13" i="15"/>
  <c r="Q13" i="15"/>
  <c r="O14" i="15"/>
  <c r="P14" i="15"/>
  <c r="Q14" i="15"/>
  <c r="O15" i="15"/>
  <c r="P15" i="15"/>
  <c r="Q15" i="15"/>
  <c r="O16" i="15"/>
  <c r="P16" i="15"/>
  <c r="Q16" i="15"/>
  <c r="O17" i="15"/>
  <c r="P17" i="15"/>
  <c r="Q17" i="15"/>
  <c r="O18" i="15"/>
  <c r="P18" i="15"/>
  <c r="Q18" i="15"/>
  <c r="O19" i="15"/>
  <c r="P19" i="15"/>
  <c r="Q19" i="15"/>
  <c r="O20" i="15"/>
  <c r="P20" i="15"/>
  <c r="Q20" i="15"/>
  <c r="O21" i="15"/>
  <c r="P21" i="15"/>
  <c r="Q21" i="15"/>
  <c r="O22" i="15"/>
  <c r="P22" i="15"/>
  <c r="Q22" i="15"/>
  <c r="O23" i="15"/>
  <c r="P23" i="15"/>
  <c r="Q23" i="15"/>
  <c r="O24" i="15"/>
  <c r="P24" i="15"/>
  <c r="Q24" i="15"/>
  <c r="O25" i="15"/>
  <c r="P25" i="15"/>
  <c r="Q25" i="15"/>
  <c r="O26" i="15"/>
  <c r="P26" i="15"/>
  <c r="Q26" i="15"/>
  <c r="O27" i="15"/>
  <c r="P27" i="15"/>
  <c r="Q27" i="15"/>
  <c r="O28" i="15"/>
  <c r="P28" i="15"/>
  <c r="Q28" i="15"/>
  <c r="O29" i="15"/>
  <c r="P29" i="15"/>
  <c r="Q29" i="15"/>
  <c r="O30" i="15"/>
  <c r="P30" i="15"/>
  <c r="Q30" i="15"/>
  <c r="O31" i="15"/>
  <c r="P31" i="15"/>
  <c r="Q31" i="15"/>
  <c r="O32" i="15"/>
  <c r="P32" i="15"/>
  <c r="Q32" i="15"/>
  <c r="O33" i="15"/>
  <c r="P33" i="15"/>
  <c r="Q33" i="15"/>
  <c r="O34" i="15"/>
  <c r="P34" i="15"/>
  <c r="Q34" i="15"/>
  <c r="O35" i="15"/>
  <c r="P35" i="15"/>
  <c r="Q35" i="15"/>
  <c r="O36" i="15"/>
  <c r="P36" i="15"/>
  <c r="Q36" i="15"/>
  <c r="O37" i="15"/>
  <c r="P37" i="15"/>
  <c r="Q37" i="15"/>
  <c r="O38" i="15"/>
  <c r="P38" i="15"/>
  <c r="Q38" i="15"/>
  <c r="O39" i="15"/>
  <c r="P39" i="15"/>
  <c r="Q39" i="15"/>
  <c r="O40" i="15"/>
  <c r="P40" i="15"/>
  <c r="Q40" i="15"/>
  <c r="O41" i="15"/>
  <c r="P41" i="15"/>
  <c r="Q41" i="15"/>
  <c r="O42" i="15"/>
  <c r="P42" i="15"/>
  <c r="Q42" i="15"/>
  <c r="O43" i="15"/>
  <c r="P43" i="15"/>
  <c r="Q43" i="15"/>
  <c r="O44" i="15"/>
  <c r="P44" i="15"/>
  <c r="Q44" i="15"/>
  <c r="O45" i="15"/>
  <c r="P45" i="15"/>
  <c r="Q45" i="15"/>
  <c r="O46" i="15"/>
  <c r="P46" i="15"/>
  <c r="Q46" i="15"/>
  <c r="O47" i="15"/>
  <c r="P47" i="15"/>
  <c r="Q47" i="15"/>
  <c r="O48" i="15"/>
  <c r="P48" i="15"/>
  <c r="Q48" i="15"/>
  <c r="O49" i="15"/>
  <c r="P49" i="15"/>
  <c r="Q49" i="15"/>
  <c r="O50" i="15"/>
  <c r="P50" i="15"/>
  <c r="Q50" i="15"/>
  <c r="O51" i="15"/>
  <c r="P51" i="15"/>
  <c r="Q51" i="15"/>
  <c r="O52" i="15"/>
  <c r="P52" i="15"/>
  <c r="Q52" i="15"/>
  <c r="O53" i="15"/>
  <c r="P53" i="15"/>
  <c r="Q53" i="15"/>
  <c r="O54" i="15"/>
  <c r="P54" i="15"/>
  <c r="Q54" i="15"/>
  <c r="O55" i="15"/>
  <c r="P55" i="15"/>
  <c r="Q55" i="15"/>
  <c r="O56" i="15"/>
  <c r="P56" i="15"/>
  <c r="Q56" i="15"/>
  <c r="O57" i="15"/>
  <c r="P57" i="15"/>
  <c r="Q57" i="15"/>
  <c r="O58" i="15"/>
  <c r="P58" i="15"/>
  <c r="Q58" i="15"/>
  <c r="O59" i="15"/>
  <c r="P59" i="15"/>
  <c r="Q59" i="15"/>
  <c r="Q11" i="15"/>
  <c r="P11" i="15"/>
  <c r="O11" i="15"/>
  <c r="Q11" i="17"/>
  <c r="O11" i="17"/>
  <c r="O12" i="17"/>
  <c r="S110" i="21" l="1"/>
  <c r="S127" i="21"/>
  <c r="C4" i="24"/>
  <c r="C3" i="24"/>
  <c r="C2"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B18" i="24" l="1"/>
  <c r="C18" i="24"/>
  <c r="C56" i="24"/>
  <c r="B56" i="24"/>
  <c r="C16" i="24"/>
  <c r="B16" i="24"/>
  <c r="C37" i="24"/>
  <c r="B37" i="24"/>
  <c r="B52" i="24"/>
  <c r="C52" i="24"/>
  <c r="C51" i="24"/>
  <c r="B51" i="24"/>
  <c r="C19" i="24"/>
  <c r="B19" i="24"/>
  <c r="B15" i="24"/>
  <c r="C15" i="24"/>
  <c r="B39" i="24"/>
  <c r="C39" i="24"/>
  <c r="C53" i="24"/>
  <c r="B53" i="24"/>
  <c r="B36" i="24"/>
  <c r="C36" i="24"/>
  <c r="B34" i="24"/>
  <c r="C34" i="24"/>
  <c r="C17" i="24"/>
  <c r="B17" i="24"/>
  <c r="B46" i="24"/>
  <c r="C46" i="24"/>
  <c r="C30" i="24"/>
  <c r="B30" i="24"/>
  <c r="C14" i="24"/>
  <c r="B14" i="24"/>
  <c r="B40" i="24"/>
  <c r="C40" i="24"/>
  <c r="C24" i="24"/>
  <c r="B24" i="24"/>
  <c r="B23" i="24"/>
  <c r="C23" i="24"/>
  <c r="B22" i="24"/>
  <c r="C22" i="24"/>
  <c r="B21" i="24"/>
  <c r="C21" i="24"/>
  <c r="B50" i="24"/>
  <c r="C50" i="24"/>
  <c r="C49" i="24"/>
  <c r="B49" i="24"/>
  <c r="C48" i="24"/>
  <c r="B48" i="24"/>
  <c r="C31" i="24"/>
  <c r="B31" i="24"/>
  <c r="C29" i="24"/>
  <c r="B29" i="24"/>
  <c r="B13" i="24"/>
  <c r="C13" i="24"/>
  <c r="B44" i="24"/>
  <c r="C44" i="24"/>
  <c r="C28" i="24"/>
  <c r="B28" i="24"/>
  <c r="C12" i="24"/>
  <c r="B12" i="24"/>
  <c r="C59" i="24"/>
  <c r="B59" i="24"/>
  <c r="B43" i="24"/>
  <c r="C43" i="24"/>
  <c r="C27" i="24"/>
  <c r="B27" i="24"/>
  <c r="B55" i="24"/>
  <c r="C55" i="24"/>
  <c r="C54" i="24"/>
  <c r="B54" i="24"/>
  <c r="C38" i="24"/>
  <c r="B38" i="24"/>
  <c r="C20" i="24"/>
  <c r="B20" i="24"/>
  <c r="C35" i="24"/>
  <c r="B35" i="24"/>
  <c r="C33" i="24"/>
  <c r="B33" i="24"/>
  <c r="B32" i="24"/>
  <c r="C32" i="24"/>
  <c r="C47" i="24"/>
  <c r="B47" i="24"/>
  <c r="B45" i="24"/>
  <c r="C45" i="24"/>
  <c r="C58" i="24"/>
  <c r="B58" i="24"/>
  <c r="C42" i="24"/>
  <c r="B42" i="24"/>
  <c r="B26" i="24"/>
  <c r="C26" i="24"/>
  <c r="C57" i="24"/>
  <c r="B57" i="24"/>
  <c r="B41" i="24"/>
  <c r="C41" i="24"/>
  <c r="C25" i="24"/>
  <c r="B25" i="24"/>
  <c r="N22" i="21"/>
  <c r="R14" i="15" l="1"/>
  <c r="R18" i="15"/>
  <c r="R21" i="15"/>
  <c r="R22" i="15"/>
  <c r="R26" i="15"/>
  <c r="R34" i="15"/>
  <c r="R42" i="15"/>
  <c r="R50" i="15"/>
  <c r="R58" i="15"/>
  <c r="R13" i="15"/>
  <c r="R16" i="15"/>
  <c r="R19" i="15"/>
  <c r="R24" i="15"/>
  <c r="R27" i="15"/>
  <c r="R29" i="15"/>
  <c r="R30" i="15"/>
  <c r="R32" i="15"/>
  <c r="R37" i="15"/>
  <c r="R38" i="15"/>
  <c r="R40" i="15"/>
  <c r="R43" i="15"/>
  <c r="R45" i="15"/>
  <c r="R46" i="15"/>
  <c r="R48" i="15"/>
  <c r="R51" i="15"/>
  <c r="R53" i="15"/>
  <c r="R56" i="15"/>
  <c r="R20" i="15" l="1"/>
  <c r="R59" i="15"/>
  <c r="R54" i="15"/>
  <c r="R35" i="15"/>
  <c r="R39" i="15"/>
  <c r="R31" i="15"/>
  <c r="R15" i="15"/>
  <c r="R47" i="15"/>
  <c r="R28" i="15"/>
  <c r="R49" i="15"/>
  <c r="R41" i="15"/>
  <c r="R33" i="15"/>
  <c r="R25" i="15"/>
  <c r="R17" i="15"/>
  <c r="R55" i="15"/>
  <c r="R36" i="15"/>
  <c r="R44" i="15"/>
  <c r="R23" i="15"/>
  <c r="R52" i="15"/>
  <c r="R57" i="15"/>
  <c r="C4" i="25"/>
  <c r="C3" i="25"/>
  <c r="C2" i="25"/>
  <c r="C2" i="19"/>
  <c r="C4" i="19"/>
  <c r="C3" i="19"/>
  <c r="E38" i="12"/>
  <c r="C4" i="17"/>
  <c r="C3" i="17"/>
  <c r="E3" i="17" s="1"/>
  <c r="C2" i="17"/>
  <c r="C4" i="15"/>
  <c r="C3" i="15"/>
  <c r="C2" i="15"/>
  <c r="J57" i="25" l="1"/>
  <c r="J58" i="25" s="1"/>
  <c r="E57" i="25"/>
  <c r="S183" i="21" l="1"/>
  <c r="S180" i="21"/>
  <c r="S175" i="21"/>
  <c r="S172" i="21"/>
  <c r="N161" i="21"/>
  <c r="S164" i="21"/>
  <c r="S161" i="21"/>
  <c r="S122" i="21"/>
  <c r="S102" i="21"/>
  <c r="S91" i="21"/>
  <c r="S124" i="21"/>
  <c r="S107" i="21"/>
  <c r="S104" i="21"/>
  <c r="S98" i="21"/>
  <c r="S87" i="21"/>
  <c r="S85" i="21"/>
  <c r="S79" i="21"/>
  <c r="S81" i="21"/>
  <c r="S53" i="21"/>
  <c r="S52" i="21" s="1"/>
  <c r="S36" i="21"/>
  <c r="S47" i="21"/>
  <c r="S39" i="21"/>
  <c r="N3" i="21"/>
  <c r="S27" i="21"/>
  <c r="S7" i="21"/>
  <c r="S101" i="21" l="1"/>
  <c r="S121" i="21"/>
  <c r="S90" i="21"/>
  <c r="S84" i="21"/>
  <c r="S78" i="21"/>
  <c r="S179" i="21"/>
  <c r="S171" i="21"/>
  <c r="S35" i="21"/>
  <c r="S160" i="21"/>
  <c r="C14" i="17"/>
  <c r="S30" i="21"/>
  <c r="S34" i="21" l="1"/>
  <c r="F15" i="17"/>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J59" i="15"/>
  <c r="K59" i="15"/>
  <c r="H27" i="25" l="1"/>
  <c r="J39" i="25" s="1"/>
  <c r="J34" i="25"/>
  <c r="H34" i="25"/>
  <c r="J27" i="25"/>
  <c r="C34" i="25"/>
  <c r="C35" i="25" s="1"/>
  <c r="E34" i="25"/>
  <c r="E35" i="25" s="1"/>
  <c r="E27" i="25"/>
  <c r="C27" i="25"/>
  <c r="E52" i="25" l="1"/>
  <c r="E39" i="25"/>
  <c r="J54" i="25"/>
  <c r="J52" i="25"/>
  <c r="E37" i="25"/>
  <c r="E36" i="25"/>
  <c r="J37" i="25"/>
  <c r="J36" i="25"/>
  <c r="E54" i="25"/>
  <c r="E56" i="25" s="1"/>
  <c r="E58" i="25" s="1"/>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J40" i="25" l="1"/>
  <c r="J42" i="25" s="1"/>
  <c r="E40" i="25"/>
  <c r="K11" i="15"/>
  <c r="J11" i="15"/>
  <c r="L12" i="17"/>
  <c r="M12" i="17"/>
  <c r="N12" i="17"/>
  <c r="L13" i="17"/>
  <c r="M13" i="17"/>
  <c r="N13" i="17"/>
  <c r="O13" i="17"/>
  <c r="L14" i="17"/>
  <c r="M14" i="17"/>
  <c r="N14" i="17"/>
  <c r="O14" i="17"/>
  <c r="L15" i="17"/>
  <c r="M15" i="17"/>
  <c r="N15" i="17"/>
  <c r="O15" i="17"/>
  <c r="L16" i="17"/>
  <c r="M16" i="17"/>
  <c r="N16" i="17"/>
  <c r="O16" i="17"/>
  <c r="L17" i="17"/>
  <c r="M17" i="17"/>
  <c r="N17" i="17"/>
  <c r="O17" i="17"/>
  <c r="L18" i="17"/>
  <c r="M18" i="17"/>
  <c r="N18" i="17"/>
  <c r="O18" i="17"/>
  <c r="L19" i="17"/>
  <c r="M19" i="17"/>
  <c r="N19" i="17"/>
  <c r="O19" i="17"/>
  <c r="L20" i="17"/>
  <c r="M20" i="17"/>
  <c r="N20" i="17"/>
  <c r="O20" i="17"/>
  <c r="L21" i="17"/>
  <c r="M21" i="17"/>
  <c r="N21" i="17"/>
  <c r="O21" i="17"/>
  <c r="L22" i="17"/>
  <c r="M22" i="17"/>
  <c r="N22" i="17"/>
  <c r="O22" i="17"/>
  <c r="L23" i="17"/>
  <c r="M23" i="17"/>
  <c r="N23" i="17"/>
  <c r="O23" i="17"/>
  <c r="L24" i="17"/>
  <c r="M24" i="17"/>
  <c r="N24" i="17"/>
  <c r="O24" i="17"/>
  <c r="L25" i="17"/>
  <c r="M25" i="17"/>
  <c r="N25" i="17"/>
  <c r="O25" i="17"/>
  <c r="L26" i="17"/>
  <c r="M26" i="17"/>
  <c r="N26" i="17"/>
  <c r="O26" i="17"/>
  <c r="L27" i="17"/>
  <c r="M27" i="17"/>
  <c r="N27" i="17"/>
  <c r="O27" i="17"/>
  <c r="L28" i="17"/>
  <c r="M28" i="17"/>
  <c r="N28" i="17"/>
  <c r="O28" i="17"/>
  <c r="L29" i="17"/>
  <c r="M29" i="17"/>
  <c r="N29" i="17"/>
  <c r="O29" i="17"/>
  <c r="L30" i="17"/>
  <c r="M30" i="17"/>
  <c r="N30" i="17"/>
  <c r="O30" i="17"/>
  <c r="L31" i="17"/>
  <c r="M31" i="17"/>
  <c r="N31" i="17"/>
  <c r="O31" i="17"/>
  <c r="L32" i="17"/>
  <c r="M32" i="17"/>
  <c r="N32" i="17"/>
  <c r="O32" i="17"/>
  <c r="L33" i="17"/>
  <c r="M33" i="17"/>
  <c r="N33" i="17"/>
  <c r="O33" i="17"/>
  <c r="L34" i="17"/>
  <c r="M34" i="17"/>
  <c r="N34" i="17"/>
  <c r="O34" i="17"/>
  <c r="L35" i="17"/>
  <c r="M35" i="17"/>
  <c r="N35" i="17"/>
  <c r="O35" i="17"/>
  <c r="L36" i="17"/>
  <c r="M36" i="17"/>
  <c r="N36" i="17"/>
  <c r="O36" i="17"/>
  <c r="L37" i="17"/>
  <c r="M37" i="17"/>
  <c r="N37" i="17"/>
  <c r="O37" i="17"/>
  <c r="L38" i="17"/>
  <c r="M38" i="17"/>
  <c r="N38" i="17"/>
  <c r="O38" i="17"/>
  <c r="L39" i="17"/>
  <c r="M39" i="17"/>
  <c r="N39" i="17"/>
  <c r="O39" i="17"/>
  <c r="L40" i="17"/>
  <c r="M40" i="17"/>
  <c r="N40" i="17"/>
  <c r="O40" i="17"/>
  <c r="L41" i="17"/>
  <c r="M41" i="17"/>
  <c r="N41" i="17"/>
  <c r="O41" i="17"/>
  <c r="L42" i="17"/>
  <c r="M42" i="17"/>
  <c r="N42" i="17"/>
  <c r="O42" i="17"/>
  <c r="L43" i="17"/>
  <c r="M43" i="17"/>
  <c r="N43" i="17"/>
  <c r="O43" i="17"/>
  <c r="L44" i="17"/>
  <c r="M44" i="17"/>
  <c r="N44" i="17"/>
  <c r="O44" i="17"/>
  <c r="L45" i="17"/>
  <c r="M45" i="17"/>
  <c r="N45" i="17"/>
  <c r="O45" i="17"/>
  <c r="L46" i="17"/>
  <c r="M46" i="17"/>
  <c r="N46" i="17"/>
  <c r="O46" i="17"/>
  <c r="L47" i="17"/>
  <c r="M47" i="17"/>
  <c r="N47" i="17"/>
  <c r="O47" i="17"/>
  <c r="L48" i="17"/>
  <c r="M48" i="17"/>
  <c r="N48" i="17"/>
  <c r="O48" i="17"/>
  <c r="L49" i="17"/>
  <c r="M49" i="17"/>
  <c r="N49" i="17"/>
  <c r="O49" i="17"/>
  <c r="L50" i="17"/>
  <c r="M50" i="17"/>
  <c r="N50" i="17"/>
  <c r="O50" i="17"/>
  <c r="L51" i="17"/>
  <c r="M51" i="17"/>
  <c r="N51" i="17"/>
  <c r="O51" i="17"/>
  <c r="L52" i="17"/>
  <c r="M52" i="17"/>
  <c r="N52" i="17"/>
  <c r="O52" i="17"/>
  <c r="L53" i="17"/>
  <c r="M53" i="17"/>
  <c r="N53" i="17"/>
  <c r="O53" i="17"/>
  <c r="L54" i="17"/>
  <c r="M54" i="17"/>
  <c r="N54" i="17"/>
  <c r="O54" i="17"/>
  <c r="L55" i="17"/>
  <c r="M55" i="17"/>
  <c r="N55" i="17"/>
  <c r="O55" i="17"/>
  <c r="L56" i="17"/>
  <c r="M56" i="17"/>
  <c r="N56" i="17"/>
  <c r="O56" i="17"/>
  <c r="L57" i="17"/>
  <c r="M57" i="17"/>
  <c r="N57" i="17"/>
  <c r="O57" i="17"/>
  <c r="L58" i="17"/>
  <c r="M58" i="17"/>
  <c r="N58" i="17"/>
  <c r="O58" i="17"/>
  <c r="L59" i="17"/>
  <c r="M59" i="17"/>
  <c r="N59" i="17"/>
  <c r="O59" i="17"/>
  <c r="N11" i="17"/>
  <c r="M11" i="17"/>
  <c r="L11" i="17"/>
  <c r="I51" i="15"/>
  <c r="L51" i="15" s="1"/>
  <c r="I12" i="15"/>
  <c r="I13" i="15"/>
  <c r="I14" i="15"/>
  <c r="L14" i="15" s="1"/>
  <c r="I15" i="15"/>
  <c r="L15" i="15" s="1"/>
  <c r="I16" i="15"/>
  <c r="L16" i="15" s="1"/>
  <c r="I17" i="15"/>
  <c r="L17" i="15" s="1"/>
  <c r="I18" i="15"/>
  <c r="L18" i="15" s="1"/>
  <c r="I19" i="15"/>
  <c r="L19" i="15" s="1"/>
  <c r="I20" i="15"/>
  <c r="L20" i="15" s="1"/>
  <c r="I21" i="15"/>
  <c r="I22" i="15"/>
  <c r="L22" i="15" s="1"/>
  <c r="I23" i="15"/>
  <c r="L23" i="15" s="1"/>
  <c r="I24" i="15"/>
  <c r="L24" i="15" s="1"/>
  <c r="I25" i="15"/>
  <c r="L25" i="15" s="1"/>
  <c r="I26" i="15"/>
  <c r="L26" i="15" s="1"/>
  <c r="I27" i="15"/>
  <c r="L27" i="15" s="1"/>
  <c r="I28" i="15"/>
  <c r="L28" i="15" s="1"/>
  <c r="I29" i="15"/>
  <c r="I30" i="15"/>
  <c r="L30" i="15" s="1"/>
  <c r="I31" i="15"/>
  <c r="L31" i="15" s="1"/>
  <c r="I32" i="15"/>
  <c r="L32" i="15" s="1"/>
  <c r="I33" i="15"/>
  <c r="L33" i="15" s="1"/>
  <c r="I34" i="15"/>
  <c r="L34" i="15" s="1"/>
  <c r="I35" i="15"/>
  <c r="L35" i="15" s="1"/>
  <c r="I36" i="15"/>
  <c r="L36" i="15" s="1"/>
  <c r="I37" i="15"/>
  <c r="I38" i="15"/>
  <c r="L38" i="15" s="1"/>
  <c r="I39" i="15"/>
  <c r="L39" i="15" s="1"/>
  <c r="I40" i="15"/>
  <c r="L40" i="15" s="1"/>
  <c r="I41" i="15"/>
  <c r="L41" i="15" s="1"/>
  <c r="I42" i="15"/>
  <c r="L42" i="15" s="1"/>
  <c r="I43" i="15"/>
  <c r="L43" i="15" s="1"/>
  <c r="I44" i="15"/>
  <c r="L44" i="15" s="1"/>
  <c r="I45" i="15"/>
  <c r="I46" i="15"/>
  <c r="L46" i="15" s="1"/>
  <c r="I47" i="15"/>
  <c r="L47" i="15" s="1"/>
  <c r="I48" i="15"/>
  <c r="L48" i="15" s="1"/>
  <c r="I49" i="15"/>
  <c r="L49" i="15" s="1"/>
  <c r="I50" i="15"/>
  <c r="L50" i="15" s="1"/>
  <c r="I52" i="15"/>
  <c r="L52" i="15" s="1"/>
  <c r="I53" i="15"/>
  <c r="L53" i="15" s="1"/>
  <c r="I54" i="15"/>
  <c r="L54" i="15" s="1"/>
  <c r="I55" i="15"/>
  <c r="L55" i="15" s="1"/>
  <c r="I56" i="15"/>
  <c r="L56" i="15" s="1"/>
  <c r="I57" i="15"/>
  <c r="L57" i="15" s="1"/>
  <c r="I58" i="15"/>
  <c r="L58" i="15" s="1"/>
  <c r="I59" i="15"/>
  <c r="L59" i="15" s="1"/>
  <c r="I11" i="15"/>
  <c r="E42" i="25" l="1"/>
  <c r="H58" i="19"/>
  <c r="H56" i="19"/>
  <c r="H54" i="19"/>
  <c r="H50" i="19"/>
  <c r="H48" i="19"/>
  <c r="H46" i="19"/>
  <c r="H44" i="19"/>
  <c r="H42" i="19"/>
  <c r="H40" i="19"/>
  <c r="H38" i="19"/>
  <c r="H36" i="19"/>
  <c r="H34" i="19"/>
  <c r="H32" i="19"/>
  <c r="H30" i="19"/>
  <c r="H28" i="19"/>
  <c r="H26" i="19"/>
  <c r="H24" i="19"/>
  <c r="H22" i="19"/>
  <c r="H20" i="19"/>
  <c r="H18" i="19"/>
  <c r="H16" i="19"/>
  <c r="H14" i="19"/>
  <c r="H59" i="19"/>
  <c r="H57" i="19"/>
  <c r="H55" i="19"/>
  <c r="H53" i="19"/>
  <c r="H49" i="19"/>
  <c r="H41" i="19"/>
  <c r="H33" i="19"/>
  <c r="H25" i="19"/>
  <c r="H17" i="19"/>
  <c r="H52" i="19"/>
  <c r="H45" i="19"/>
  <c r="H43" i="19"/>
  <c r="H39" i="19"/>
  <c r="H37" i="19"/>
  <c r="H35" i="19"/>
  <c r="H31" i="19"/>
  <c r="H29" i="19"/>
  <c r="H27" i="19"/>
  <c r="H23" i="19"/>
  <c r="H21" i="19"/>
  <c r="H19" i="19"/>
  <c r="H15" i="19"/>
  <c r="H13" i="19"/>
  <c r="H51" i="19"/>
  <c r="H47" i="19"/>
  <c r="L12" i="15"/>
  <c r="H12" i="19"/>
  <c r="G45" i="19"/>
  <c r="L45" i="15"/>
  <c r="G37" i="19"/>
  <c r="L37" i="15"/>
  <c r="G29" i="19"/>
  <c r="L29" i="15"/>
  <c r="G21" i="19"/>
  <c r="L21" i="15"/>
  <c r="G13" i="19"/>
  <c r="L13" i="15"/>
  <c r="G58" i="19"/>
  <c r="G50" i="19"/>
  <c r="G42" i="19"/>
  <c r="G34" i="19"/>
  <c r="G26" i="19"/>
  <c r="G18" i="19"/>
  <c r="G57" i="19"/>
  <c r="G49" i="19"/>
  <c r="G41" i="19"/>
  <c r="G33" i="19"/>
  <c r="G25" i="19"/>
  <c r="G17" i="19"/>
  <c r="G56" i="19"/>
  <c r="G48" i="19"/>
  <c r="G40" i="19"/>
  <c r="G32" i="19"/>
  <c r="G24" i="19"/>
  <c r="G16" i="19"/>
  <c r="G55" i="19"/>
  <c r="G47" i="19"/>
  <c r="G39" i="19"/>
  <c r="G31" i="19"/>
  <c r="G23" i="19"/>
  <c r="G15" i="19"/>
  <c r="G54" i="19"/>
  <c r="G46" i="19"/>
  <c r="G38" i="19"/>
  <c r="G30" i="19"/>
  <c r="G22" i="19"/>
  <c r="G14" i="19"/>
  <c r="L11" i="15"/>
  <c r="G53" i="19"/>
  <c r="G52" i="19"/>
  <c r="G44" i="19"/>
  <c r="G36" i="19"/>
  <c r="G28" i="19"/>
  <c r="G20" i="19"/>
  <c r="G12" i="19"/>
  <c r="G59" i="19"/>
  <c r="G51" i="19"/>
  <c r="G43" i="19"/>
  <c r="G35" i="19"/>
  <c r="G27" i="19"/>
  <c r="G19" i="19"/>
  <c r="G11" i="19"/>
  <c r="G60" i="19" l="1"/>
  <c r="E16" i="21" l="1"/>
  <c r="L16" i="21" s="1"/>
  <c r="G62" i="19"/>
  <c r="B11" i="17"/>
  <c r="D11" i="24" s="1"/>
  <c r="C11" i="17"/>
  <c r="D11" i="17"/>
  <c r="F11" i="17"/>
  <c r="B12" i="17"/>
  <c r="C12" i="17"/>
  <c r="D12" i="17"/>
  <c r="F12" i="17"/>
  <c r="B13" i="17"/>
  <c r="C13" i="17"/>
  <c r="D13" i="17"/>
  <c r="F13" i="17"/>
  <c r="B14" i="17"/>
  <c r="D14" i="17"/>
  <c r="F14" i="17"/>
  <c r="B15" i="17"/>
  <c r="C15" i="17"/>
  <c r="D15" i="17"/>
  <c r="B16" i="17"/>
  <c r="C16" i="17"/>
  <c r="D16" i="17"/>
  <c r="F16" i="17"/>
  <c r="B17" i="17"/>
  <c r="C17" i="17"/>
  <c r="D17" i="17"/>
  <c r="F17" i="17"/>
  <c r="D11" i="15"/>
  <c r="F11" i="15" s="1"/>
  <c r="D14" i="15"/>
  <c r="F14" i="15" s="1"/>
  <c r="C11" i="24" l="1"/>
  <c r="B11" i="24"/>
  <c r="M11" i="15"/>
  <c r="R11" i="15" s="1"/>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C18" i="17"/>
  <c r="D18" i="17"/>
  <c r="C19" i="17"/>
  <c r="D19" i="17"/>
  <c r="C20" i="17"/>
  <c r="D20" i="17"/>
  <c r="C21" i="17"/>
  <c r="D21" i="17"/>
  <c r="C22" i="17"/>
  <c r="D22" i="17"/>
  <c r="C23" i="17"/>
  <c r="D23" i="17"/>
  <c r="C24" i="17"/>
  <c r="D24" i="17"/>
  <c r="C25" i="17"/>
  <c r="D25" i="17"/>
  <c r="C26" i="17"/>
  <c r="D26" i="17"/>
  <c r="C27" i="17"/>
  <c r="D27" i="17"/>
  <c r="C28" i="17"/>
  <c r="D28" i="17"/>
  <c r="C29" i="17"/>
  <c r="D29" i="17"/>
  <c r="C30" i="17"/>
  <c r="D30" i="17"/>
  <c r="C31" i="17"/>
  <c r="D31" i="17"/>
  <c r="C32" i="17"/>
  <c r="D32" i="17"/>
  <c r="C33" i="17"/>
  <c r="D33" i="17"/>
  <c r="C34" i="17"/>
  <c r="D34" i="17"/>
  <c r="C35" i="17"/>
  <c r="D35" i="17"/>
  <c r="C36" i="17"/>
  <c r="D36" i="17"/>
  <c r="C37" i="17"/>
  <c r="D37" i="17"/>
  <c r="C38" i="17"/>
  <c r="D38" i="17"/>
  <c r="C39" i="17"/>
  <c r="D39" i="17"/>
  <c r="C40" i="17"/>
  <c r="D40" i="17"/>
  <c r="C41" i="17"/>
  <c r="D41" i="17"/>
  <c r="C42" i="17"/>
  <c r="D42" i="17"/>
  <c r="C43" i="17"/>
  <c r="D43" i="17"/>
  <c r="C44" i="17"/>
  <c r="D44" i="17"/>
  <c r="C45" i="17"/>
  <c r="D45" i="17"/>
  <c r="C46" i="17"/>
  <c r="D46" i="17"/>
  <c r="C47" i="17"/>
  <c r="D47" i="17"/>
  <c r="C48" i="17"/>
  <c r="D48" i="17"/>
  <c r="C49" i="17"/>
  <c r="D49" i="17"/>
  <c r="C50" i="17"/>
  <c r="D50" i="17"/>
  <c r="C51" i="17"/>
  <c r="D51" i="17"/>
  <c r="C52" i="17"/>
  <c r="D52" i="17"/>
  <c r="C53" i="17"/>
  <c r="D53" i="17"/>
  <c r="C54" i="17"/>
  <c r="D54" i="17"/>
  <c r="C55" i="17"/>
  <c r="D55" i="17"/>
  <c r="C56" i="17"/>
  <c r="D56" i="17"/>
  <c r="C57" i="17"/>
  <c r="D57" i="17"/>
  <c r="C58" i="17"/>
  <c r="D58" i="17"/>
  <c r="C59" i="17"/>
  <c r="D59"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D12" i="15"/>
  <c r="F12" i="15" s="1"/>
  <c r="D13" i="15"/>
  <c r="F13" i="15" s="1"/>
  <c r="D15" i="15"/>
  <c r="F15" i="15" s="1"/>
  <c r="D16" i="15"/>
  <c r="F16" i="15" s="1"/>
  <c r="D17" i="15"/>
  <c r="F17" i="15" s="1"/>
  <c r="D18" i="15"/>
  <c r="F18" i="15" s="1"/>
  <c r="D19" i="15"/>
  <c r="F19" i="15" s="1"/>
  <c r="D20" i="15"/>
  <c r="F20" i="15" s="1"/>
  <c r="D21" i="15"/>
  <c r="F21" i="15" s="1"/>
  <c r="D22" i="15"/>
  <c r="F22" i="15" s="1"/>
  <c r="D23" i="15"/>
  <c r="F23" i="15" s="1"/>
  <c r="D24" i="15"/>
  <c r="F24" i="15" s="1"/>
  <c r="D25" i="15"/>
  <c r="F25" i="15" s="1"/>
  <c r="D26" i="15"/>
  <c r="F26" i="15" s="1"/>
  <c r="D27" i="15"/>
  <c r="F27" i="15" s="1"/>
  <c r="D28" i="15"/>
  <c r="F28" i="15" s="1"/>
  <c r="D29" i="15"/>
  <c r="F29" i="15" s="1"/>
  <c r="D30" i="15"/>
  <c r="F30" i="15" s="1"/>
  <c r="D31" i="15"/>
  <c r="F31" i="15" s="1"/>
  <c r="D32" i="15"/>
  <c r="F32" i="15" s="1"/>
  <c r="D33" i="15"/>
  <c r="F33" i="15" s="1"/>
  <c r="D34" i="15"/>
  <c r="F34" i="15" s="1"/>
  <c r="D35" i="15"/>
  <c r="F35" i="15" s="1"/>
  <c r="D36" i="15"/>
  <c r="F36" i="15" s="1"/>
  <c r="D37" i="15"/>
  <c r="F37" i="15" s="1"/>
  <c r="D38" i="15"/>
  <c r="F38" i="15" s="1"/>
  <c r="D39" i="15"/>
  <c r="F39" i="15" s="1"/>
  <c r="D40" i="15"/>
  <c r="F40" i="15" s="1"/>
  <c r="D41" i="15"/>
  <c r="F41" i="15" s="1"/>
  <c r="D42" i="15"/>
  <c r="F42" i="15" s="1"/>
  <c r="D43" i="15"/>
  <c r="F43" i="15" s="1"/>
  <c r="D44" i="15"/>
  <c r="F44" i="15" s="1"/>
  <c r="D45" i="15"/>
  <c r="F45" i="15" s="1"/>
  <c r="D46" i="15"/>
  <c r="F46" i="15" s="1"/>
  <c r="D47" i="15"/>
  <c r="F47" i="15" s="1"/>
  <c r="D48" i="15"/>
  <c r="F48" i="15" s="1"/>
  <c r="D49" i="15"/>
  <c r="F49" i="15" s="1"/>
  <c r="D50" i="15"/>
  <c r="F50" i="15" s="1"/>
  <c r="D51" i="15"/>
  <c r="F51" i="15" s="1"/>
  <c r="D52" i="15"/>
  <c r="F52" i="15" s="1"/>
  <c r="D53" i="15"/>
  <c r="F53" i="15" s="1"/>
  <c r="D54" i="15"/>
  <c r="F54" i="15" s="1"/>
  <c r="D55" i="15"/>
  <c r="F55" i="15" s="1"/>
  <c r="D56" i="15"/>
  <c r="F56" i="15" s="1"/>
  <c r="D57" i="15"/>
  <c r="F57" i="15" s="1"/>
  <c r="D58" i="15"/>
  <c r="F58" i="15" s="1"/>
  <c r="D59" i="15"/>
  <c r="F59" i="15" s="1"/>
  <c r="B12" i="19" l="1"/>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11" i="19"/>
  <c r="C59" i="19" l="1"/>
  <c r="J59" i="19" s="1"/>
  <c r="D59" i="19"/>
  <c r="D50" i="19"/>
  <c r="C50" i="19"/>
  <c r="J50" i="19" s="1"/>
  <c r="D42" i="19"/>
  <c r="C42" i="19"/>
  <c r="J42" i="19" s="1"/>
  <c r="D34" i="19"/>
  <c r="C34" i="19"/>
  <c r="J34" i="19" s="1"/>
  <c r="D26" i="19"/>
  <c r="C26" i="19"/>
  <c r="J26" i="19" s="1"/>
  <c r="D18" i="19"/>
  <c r="C18" i="19"/>
  <c r="J18" i="19" s="1"/>
  <c r="C27" i="19"/>
  <c r="J27" i="19" s="1"/>
  <c r="D27" i="19"/>
  <c r="D41" i="19"/>
  <c r="C41" i="19"/>
  <c r="J41" i="19" s="1"/>
  <c r="D48" i="19"/>
  <c r="C48" i="19"/>
  <c r="J48" i="19" s="1"/>
  <c r="D40" i="19"/>
  <c r="C40" i="19"/>
  <c r="J40" i="19" s="1"/>
  <c r="D32" i="19"/>
  <c r="C32" i="19"/>
  <c r="J32" i="19" s="1"/>
  <c r="D24" i="19"/>
  <c r="C24" i="19"/>
  <c r="J24" i="19" s="1"/>
  <c r="D16" i="19"/>
  <c r="C16" i="19"/>
  <c r="J16" i="19" s="1"/>
  <c r="C43" i="19"/>
  <c r="J43" i="19" s="1"/>
  <c r="D43" i="19"/>
  <c r="D49" i="19"/>
  <c r="C49" i="19"/>
  <c r="J49" i="19" s="1"/>
  <c r="D17" i="19"/>
  <c r="C17" i="19"/>
  <c r="J17" i="19" s="1"/>
  <c r="D55" i="19"/>
  <c r="C55" i="19"/>
  <c r="J55" i="19" s="1"/>
  <c r="D47" i="19"/>
  <c r="C47" i="19"/>
  <c r="J47" i="19" s="1"/>
  <c r="D39" i="19"/>
  <c r="C39" i="19"/>
  <c r="J39" i="19" s="1"/>
  <c r="D31" i="19"/>
  <c r="C31" i="19"/>
  <c r="J31" i="19" s="1"/>
  <c r="D23" i="19"/>
  <c r="C23" i="19"/>
  <c r="J23" i="19" s="1"/>
  <c r="D15" i="19"/>
  <c r="C15" i="19"/>
  <c r="J15" i="19" s="1"/>
  <c r="C35" i="19"/>
  <c r="J35" i="19" s="1"/>
  <c r="D35" i="19"/>
  <c r="D33" i="19"/>
  <c r="C33" i="19"/>
  <c r="J33" i="19" s="1"/>
  <c r="C46" i="19"/>
  <c r="J46" i="19" s="1"/>
  <c r="D46" i="19"/>
  <c r="C38" i="19"/>
  <c r="J38" i="19" s="1"/>
  <c r="D38" i="19"/>
  <c r="C30" i="19"/>
  <c r="J30" i="19" s="1"/>
  <c r="D30" i="19"/>
  <c r="D22" i="19"/>
  <c r="D14" i="19"/>
  <c r="D51" i="19"/>
  <c r="C51" i="19"/>
  <c r="J51" i="19" s="1"/>
  <c r="D58" i="19"/>
  <c r="C58" i="19"/>
  <c r="J58" i="19" s="1"/>
  <c r="D25" i="19"/>
  <c r="C25" i="19"/>
  <c r="J25" i="19" s="1"/>
  <c r="C54" i="19"/>
  <c r="J54" i="19" s="1"/>
  <c r="D54" i="19"/>
  <c r="D45" i="19"/>
  <c r="C45" i="19"/>
  <c r="J45" i="19" s="1"/>
  <c r="C37" i="19"/>
  <c r="J37" i="19" s="1"/>
  <c r="D37" i="19"/>
  <c r="C29" i="19"/>
  <c r="J29" i="19" s="1"/>
  <c r="D29" i="19"/>
  <c r="D21" i="19"/>
  <c r="D13" i="19"/>
  <c r="D19" i="19"/>
  <c r="C19" i="19"/>
  <c r="J19" i="19" s="1"/>
  <c r="D57" i="19"/>
  <c r="C57" i="19"/>
  <c r="J57" i="19" s="1"/>
  <c r="D56" i="19"/>
  <c r="C56" i="19"/>
  <c r="J56" i="19" s="1"/>
  <c r="D53" i="19"/>
  <c r="C53" i="19"/>
  <c r="J53" i="19" s="1"/>
  <c r="D52" i="19"/>
  <c r="C52" i="19"/>
  <c r="J52" i="19" s="1"/>
  <c r="D44" i="19"/>
  <c r="C44" i="19"/>
  <c r="J44" i="19" s="1"/>
  <c r="D36" i="19"/>
  <c r="C36" i="19"/>
  <c r="J36" i="19" s="1"/>
  <c r="D28" i="19"/>
  <c r="C28" i="19"/>
  <c r="J28" i="19" s="1"/>
  <c r="D20" i="19"/>
  <c r="C20" i="19"/>
  <c r="J20" i="19" s="1"/>
  <c r="F35" i="19"/>
  <c r="E35" i="19"/>
  <c r="E58" i="19"/>
  <c r="F58" i="19"/>
  <c r="E34" i="19"/>
  <c r="F34" i="19"/>
  <c r="E57" i="19"/>
  <c r="F57" i="19"/>
  <c r="E49" i="19"/>
  <c r="F49" i="19"/>
  <c r="E41" i="19"/>
  <c r="F41" i="19"/>
  <c r="E33" i="19"/>
  <c r="F33" i="19"/>
  <c r="E25" i="19"/>
  <c r="F25" i="19"/>
  <c r="E17" i="19"/>
  <c r="F17" i="19"/>
  <c r="F43" i="19"/>
  <c r="E43" i="19"/>
  <c r="E50" i="19"/>
  <c r="F50" i="19"/>
  <c r="E26" i="19"/>
  <c r="F26" i="19"/>
  <c r="E56" i="19"/>
  <c r="F56" i="19"/>
  <c r="F48" i="19"/>
  <c r="E48" i="19"/>
  <c r="E40" i="19"/>
  <c r="F40" i="19"/>
  <c r="E32" i="19"/>
  <c r="F32" i="19"/>
  <c r="F24" i="19"/>
  <c r="E24" i="19"/>
  <c r="F16" i="19"/>
  <c r="E16" i="19"/>
  <c r="F51" i="19"/>
  <c r="E51" i="19"/>
  <c r="F19" i="19"/>
  <c r="E19" i="19"/>
  <c r="E42" i="19"/>
  <c r="F42" i="19"/>
  <c r="E18" i="19"/>
  <c r="F18" i="19"/>
  <c r="E55" i="19"/>
  <c r="F55" i="19"/>
  <c r="E47" i="19"/>
  <c r="F47" i="19"/>
  <c r="E39" i="19"/>
  <c r="F39" i="19"/>
  <c r="E31" i="19"/>
  <c r="F31" i="19"/>
  <c r="E23" i="19"/>
  <c r="F23" i="19"/>
  <c r="E15" i="19"/>
  <c r="F15" i="19"/>
  <c r="E38" i="19"/>
  <c r="F38" i="19"/>
  <c r="F59" i="19"/>
  <c r="E59" i="19"/>
  <c r="F27" i="19"/>
  <c r="E27" i="19"/>
  <c r="E54" i="19"/>
  <c r="F54" i="19"/>
  <c r="E30" i="19"/>
  <c r="F30" i="19"/>
  <c r="F53" i="19"/>
  <c r="E53" i="19"/>
  <c r="F45" i="19"/>
  <c r="E45" i="19"/>
  <c r="F37" i="19"/>
  <c r="E37" i="19"/>
  <c r="F29" i="19"/>
  <c r="E29" i="19"/>
  <c r="E46" i="19"/>
  <c r="F46" i="19"/>
  <c r="F52" i="19"/>
  <c r="E52" i="19"/>
  <c r="E44" i="19"/>
  <c r="F44" i="19"/>
  <c r="F36" i="19"/>
  <c r="E36" i="19"/>
  <c r="E28" i="19"/>
  <c r="F28" i="19"/>
  <c r="E20" i="19"/>
  <c r="F20" i="19"/>
  <c r="G11" i="17"/>
  <c r="M19" i="15"/>
  <c r="M12" i="15"/>
  <c r="M13" i="15"/>
  <c r="M14" i="15"/>
  <c r="M15" i="15"/>
  <c r="M16" i="15"/>
  <c r="M17" i="15"/>
  <c r="M18"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C11" i="19" l="1"/>
  <c r="D11" i="19" s="1"/>
  <c r="H11" i="19" s="1"/>
  <c r="E11" i="24"/>
  <c r="E60" i="24" s="1"/>
  <c r="R12" i="15"/>
  <c r="R60" i="15" s="1"/>
  <c r="I23" i="19"/>
  <c r="I55" i="19"/>
  <c r="I16" i="19"/>
  <c r="I48" i="19"/>
  <c r="I26" i="19"/>
  <c r="I36" i="19"/>
  <c r="I56" i="19"/>
  <c r="I54" i="19"/>
  <c r="I46" i="19"/>
  <c r="I59" i="19"/>
  <c r="I25" i="19"/>
  <c r="I33" i="19"/>
  <c r="I31" i="19"/>
  <c r="I17" i="19"/>
  <c r="I24" i="19"/>
  <c r="I41" i="19"/>
  <c r="I34" i="19"/>
  <c r="I44" i="19"/>
  <c r="I57" i="19"/>
  <c r="I29" i="19"/>
  <c r="I58" i="19"/>
  <c r="I39" i="19"/>
  <c r="I49" i="19"/>
  <c r="I32" i="19"/>
  <c r="I42" i="19"/>
  <c r="I20" i="19"/>
  <c r="I52" i="19"/>
  <c r="I19" i="19"/>
  <c r="I37" i="19"/>
  <c r="I30" i="19"/>
  <c r="I35" i="19"/>
  <c r="I27" i="19"/>
  <c r="I45" i="19"/>
  <c r="I51" i="19"/>
  <c r="I15" i="19"/>
  <c r="I47" i="19"/>
  <c r="I40" i="19"/>
  <c r="I18" i="19"/>
  <c r="I50" i="19"/>
  <c r="I28" i="19"/>
  <c r="I53" i="19"/>
  <c r="I38" i="19"/>
  <c r="I43" i="19"/>
  <c r="M60" i="15"/>
  <c r="G35" i="17"/>
  <c r="G58" i="17"/>
  <c r="G42" i="17"/>
  <c r="G34" i="17"/>
  <c r="G26" i="17"/>
  <c r="G17" i="17"/>
  <c r="G57" i="17"/>
  <c r="G49" i="17"/>
  <c r="G41" i="17"/>
  <c r="G33" i="17"/>
  <c r="G25" i="17"/>
  <c r="G16" i="17"/>
  <c r="G50" i="17"/>
  <c r="G56" i="17"/>
  <c r="G48" i="17"/>
  <c r="G40" i="17"/>
  <c r="G32" i="17"/>
  <c r="G24" i="17"/>
  <c r="G15" i="17"/>
  <c r="G59" i="17"/>
  <c r="G27" i="17"/>
  <c r="G47" i="17"/>
  <c r="G46" i="17"/>
  <c r="G51" i="17"/>
  <c r="G18" i="17"/>
  <c r="G31" i="17"/>
  <c r="G54" i="17"/>
  <c r="G38" i="17"/>
  <c r="G30" i="17"/>
  <c r="G22" i="17"/>
  <c r="G13" i="17"/>
  <c r="G53" i="17"/>
  <c r="G45" i="17"/>
  <c r="G37" i="17"/>
  <c r="G29" i="17"/>
  <c r="G21" i="17"/>
  <c r="G12" i="17"/>
  <c r="G43" i="17"/>
  <c r="G55" i="17"/>
  <c r="G39" i="17"/>
  <c r="G23" i="17"/>
  <c r="G14" i="17"/>
  <c r="G52" i="17"/>
  <c r="G44" i="17"/>
  <c r="G36" i="17"/>
  <c r="G28" i="17"/>
  <c r="G20" i="17"/>
  <c r="G19" i="17"/>
  <c r="E11" i="19" l="1"/>
  <c r="C12" i="19"/>
  <c r="J12" i="19" s="1"/>
  <c r="C14" i="19"/>
  <c r="C13" i="19"/>
  <c r="C22" i="19"/>
  <c r="C21" i="19"/>
  <c r="G10" i="17"/>
  <c r="C10" i="19" s="1"/>
  <c r="E13" i="19" l="1"/>
  <c r="J13" i="19"/>
  <c r="E22" i="19"/>
  <c r="J22" i="19"/>
  <c r="E14" i="19"/>
  <c r="J14" i="19"/>
  <c r="E21" i="19"/>
  <c r="J21" i="19"/>
  <c r="E12" i="19"/>
  <c r="D12" i="19"/>
  <c r="I14" i="19"/>
  <c r="I13" i="19"/>
  <c r="I22" i="19"/>
  <c r="F22" i="19"/>
  <c r="F21" i="19"/>
  <c r="I21" i="19"/>
  <c r="E10" i="24"/>
  <c r="F13" i="19"/>
  <c r="F14" i="19"/>
  <c r="D60" i="19" l="1"/>
  <c r="H60" i="19"/>
  <c r="E60" i="19"/>
  <c r="I12" i="19"/>
  <c r="J11" i="19" l="1"/>
  <c r="J60" i="19" s="1"/>
  <c r="J62" i="19" s="1"/>
  <c r="I11" i="19"/>
  <c r="I60" i="19" s="1"/>
  <c r="F12" i="19"/>
  <c r="F11" i="19"/>
  <c r="I16" i="21"/>
  <c r="L17" i="21" s="1"/>
  <c r="S13" i="21" s="1"/>
  <c r="S12" i="21" s="1"/>
  <c r="H62" i="19"/>
  <c r="E25" i="21" l="1"/>
  <c r="L25" i="21" s="1"/>
  <c r="I62" i="19"/>
  <c r="I25" i="21"/>
  <c r="L26" i="21" s="1"/>
  <c r="F60" i="19"/>
  <c r="F62" i="19" s="1"/>
  <c r="S22" i="21" l="1"/>
  <c r="S21" i="21" s="1"/>
  <c r="E5" i="21"/>
  <c r="L3" i="21" s="1"/>
  <c r="S3" i="21" s="1"/>
  <c r="S2" i="21" s="1"/>
</calcChain>
</file>

<file path=xl/sharedStrings.xml><?xml version="1.0" encoding="utf-8"?>
<sst xmlns="http://schemas.openxmlformats.org/spreadsheetml/2006/main" count="1572" uniqueCount="618">
  <si>
    <t>Manufacturer</t>
  </si>
  <si>
    <t>Function</t>
  </si>
  <si>
    <t xml:space="preserve">(please select) </t>
  </si>
  <si>
    <t>Supplier declaration added?</t>
  </si>
  <si>
    <t>SDS added?</t>
  </si>
  <si>
    <t>Hazard Statement</t>
  </si>
  <si>
    <t xml:space="preserve">Weight in the formulation  </t>
  </si>
  <si>
    <t>in mass- % (=g/100g product)</t>
  </si>
  <si>
    <t xml:space="preserve">COMISSION DECISION </t>
  </si>
  <si>
    <t>Type of product:</t>
  </si>
  <si>
    <t>Annex:</t>
  </si>
  <si>
    <t>Water</t>
  </si>
  <si>
    <t>Ingoing substance</t>
  </si>
  <si>
    <t>Contained in primary product</t>
  </si>
  <si>
    <t>(please select)</t>
  </si>
  <si>
    <t>Active content in the product</t>
  </si>
  <si>
    <t>(in %)</t>
  </si>
  <si>
    <t>Weight in the formulation</t>
  </si>
  <si>
    <t>In case H/EUH-statement with possible restrictions are detected, font changed to red</t>
  </si>
  <si>
    <t>If H-phrase resticted: exemption because</t>
  </si>
  <si>
    <t>BCF / log Kow</t>
  </si>
  <si>
    <t>Value of BCF / log Kow</t>
  </si>
  <si>
    <t>Form in the product</t>
  </si>
  <si>
    <t>Organic substance</t>
  </si>
  <si>
    <t>Contains palm/ plam kernel oil</t>
  </si>
  <si>
    <t>Product category</t>
  </si>
  <si>
    <t>Surfactant</t>
  </si>
  <si>
    <t xml:space="preserve">Sum: </t>
  </si>
  <si>
    <t>Functions</t>
  </si>
  <si>
    <t>BCF</t>
  </si>
  <si>
    <t>Log Kow</t>
  </si>
  <si>
    <t>Bioacumulation</t>
  </si>
  <si>
    <t>Verification CB</t>
  </si>
  <si>
    <t>Acute toxicity</t>
  </si>
  <si>
    <t>Chronic toxicity</t>
  </si>
  <si>
    <t>Degradation</t>
  </si>
  <si>
    <t>DID-no</t>
  </si>
  <si>
    <t>Ingredient name</t>
  </si>
  <si>
    <t>LC50/ EC50 (*)</t>
  </si>
  <si>
    <t>SF (*) (Acute)</t>
  </si>
  <si>
    <t>NOEC (*)</t>
  </si>
  <si>
    <t>SF (*) (Chronic)</t>
  </si>
  <si>
    <t>DF</t>
  </si>
  <si>
    <t>not included</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</si>
  <si>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</si>
  <si>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</si>
  <si>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</si>
  <si>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</si>
  <si>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</si>
  <si>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</si>
  <si>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</si>
  <si>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</si>
  <si>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</si>
  <si>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</si>
  <si>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</si>
  <si>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</si>
  <si>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</si>
  <si>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</si>
  <si>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</si>
  <si>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</si>
  <si>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</si>
  <si>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</si>
  <si>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</si>
  <si>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</si>
  <si>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</si>
  <si>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</si>
  <si>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</si>
  <si>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</si>
  <si>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C12-14 Fatty acid methyl Ester Sulphonate</t>
  </si>
  <si>
    <t>C16-18 Fatty acid methyl Ester Sulphonate</t>
  </si>
  <si>
    <t>C14-16 alfa olefin sulphonate</t>
  </si>
  <si>
    <t>C14-18 alfa olefin sulphonate</t>
  </si>
  <si>
    <t>C9-11, ≥2 - ≤10 EO Carboxymethylated, sodium salt or acid</t>
  </si>
  <si>
    <t>C12-18 Alkyl phosphate esters</t>
  </si>
  <si>
    <t>iso C13 Alkyl phosphate esters, 3 EO</t>
  </si>
  <si>
    <t>Sodium cocoyl glutamate</t>
  </si>
  <si>
    <t>Sodium Lauroyl Methyl Isethionate</t>
  </si>
  <si>
    <t>Non-ionic surfactants (****)</t>
  </si>
  <si>
    <t>2-propylheptyl alcohol, &gt;2.5 - ≤10 EO</t>
  </si>
  <si>
    <t>C10 Alcohol, ≥ 5 - ≤11 EO multibranched(Trimer-propen-oxo-alcohol)</t>
  </si>
  <si>
    <t>C12-14 Alcohol, ≥5 - ≤8 EO 1 t-BuO (endcapped)</t>
  </si>
  <si>
    <t>C12-15 Alcohol, ≥2 - ≤6 EO, ≥2 - ≤6 PO</t>
  </si>
  <si>
    <t>C10-16 Alcohol, 6 and 7 EO, ≤3 PO</t>
  </si>
  <si>
    <t>C12-18 Alkyl glycerol ester (even numbered), 1-6,5 EO</t>
  </si>
  <si>
    <t>C12-18 Alkyl glycerol ester (even numbered), &gt;6,5-17 EO</t>
  </si>
  <si>
    <t>C4-10 Alkyl polyglucoside</t>
  </si>
  <si>
    <t>C8-12 Alkyl polyglycoside, branched</t>
  </si>
  <si>
    <t>N1 C8-18 Alkanolamide (even numbered)</t>
  </si>
  <si>
    <t>N2 C8-18 Alkanolamide</t>
  </si>
  <si>
    <t>PEG-4 Rapeseed amide</t>
  </si>
  <si>
    <t>Amines, coco, ≥10 - ≤15 EO</t>
  </si>
  <si>
    <t>Amines, tallow, ≤2,5 EO</t>
  </si>
  <si>
    <t>Amines, tallow, ≥5 - ≤11 EO</t>
  </si>
  <si>
    <t>Amines, tallow, ≥20 - ≤50 EO</t>
  </si>
  <si>
    <t>Amines, C18 saturated and unsaturated, ≥20 - ≤25 EO</t>
  </si>
  <si>
    <t>C12 sorbitan monoester, 20 EO (polysorbate 20)</t>
  </si>
  <si>
    <t>C18 sorbitan monoester, 20 EO</t>
  </si>
  <si>
    <t>C8-10 Sorbitan mono- or diester</t>
  </si>
  <si>
    <t>Sorbitan stearate</t>
  </si>
  <si>
    <t>C12-14 Fatty acid methyl ester (MEE), 1-30 EO</t>
  </si>
  <si>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</si>
  <si>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</si>
  <si>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</si>
  <si>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</si>
  <si>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</si>
  <si>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</si>
  <si>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</si>
  <si>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</si>
  <si>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</si>
  <si>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</si>
  <si>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</si>
  <si>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</si>
  <si>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</si>
  <si>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</si>
  <si>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</si>
  <si>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</si>
  <si>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</si>
  <si>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</si>
  <si>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</si>
  <si>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</si>
  <si>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</si>
  <si>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</si>
  <si>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</si>
  <si>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</si>
  <si>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</si>
  <si>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</si>
  <si>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</si>
  <si>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Cationic surfactants</t>
  </si>
  <si>
    <t>C8-16 alkyltrimethyl or benzyldimethyl quaternary ammonium salts</t>
  </si>
  <si>
    <t>C16-18 alkyl benzyldimethyl quaternary ammonium salts</t>
  </si>
  <si>
    <t>tri C16-18 Esterquats</t>
  </si>
  <si>
    <t>di C16-18 Esterquats</t>
  </si>
  <si>
    <t>Preservatives (****)</t>
  </si>
  <si>
    <t>1,2-Benzisothiazol-3-one (BIT)</t>
  </si>
  <si>
    <t>5-bromo-5-nitro-1,3-dioxane</t>
  </si>
  <si>
    <t>P</t>
  </si>
  <si>
    <t>2-bromo-2-nitropropane-1,3-diol (Remark: Formaldehyde donor)</t>
  </si>
  <si>
    <t>CMI + MI in mixture 3:1 (CAS 55965-84-9) (§)</t>
  </si>
  <si>
    <t>2-Methyl-2H-isothiazol-3-one (MI)</t>
  </si>
  <si>
    <t>Methyldibromoglutaronitrile</t>
  </si>
  <si>
    <t>Methyl-, Ethyl- and Propylparaben</t>
  </si>
  <si>
    <t>Sodium hydroxy methyl glycinate</t>
  </si>
  <si>
    <t>Phenoxy-ethanol</t>
  </si>
  <si>
    <t>Sorbate and sorbic acid</t>
  </si>
  <si>
    <t>N-(3-Aminopropyl)-N-dodecylpropane-1,3-diamine</t>
  </si>
  <si>
    <t>Phenoxypropanol</t>
  </si>
  <si>
    <t>Other ingredients (****)</t>
  </si>
  <si>
    <t>NA</t>
  </si>
  <si>
    <t>Nitrilotriacetat (NTA)</t>
  </si>
  <si>
    <t>GLDA</t>
  </si>
  <si>
    <t>Carboxymethyl inulin (CMI)</t>
  </si>
  <si>
    <t>Veg. Oil</t>
  </si>
  <si>
    <t>Lauric Acid (C12:0)</t>
  </si>
  <si>
    <t>Fatty acid, C≥6-C≤12 methyl ester</t>
  </si>
  <si>
    <t>Lanolin</t>
  </si>
  <si>
    <t>Polyasparaginic acid, Na-salt</t>
  </si>
  <si>
    <t>Perborates (as Boron)</t>
  </si>
  <si>
    <t>Percarbonate</t>
  </si>
  <si>
    <t>H2O2</t>
  </si>
  <si>
    <t>Tetraacetylethylenediamine (TAED)</t>
  </si>
  <si>
    <t>Cetyl Alcohol and Cetearyl Alcohol</t>
  </si>
  <si>
    <t>Mono-, di- and triethanol amine</t>
  </si>
  <si>
    <t>Polyvinylpyrrolidon (PVP)</t>
  </si>
  <si>
    <t>Carboxymethylcellulose (CMC)</t>
  </si>
  <si>
    <t>Polyethylene glycol, MW≥4100</t>
  </si>
  <si>
    <t>Polyethylene glycol, MW&lt;4100</t>
  </si>
  <si>
    <t>Cumene sulphonates</t>
  </si>
  <si>
    <t>Xylene sulphonate</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</si>
  <si>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</si>
  <si>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</si>
  <si>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</si>
  <si>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</si>
  <si>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</si>
  <si>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</si>
  <si>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</si>
  <si>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</si>
  <si>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</si>
  <si>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Zn Ftalocyanin sulphonate</t>
  </si>
  <si>
    <t>Formic acid (Ca salt)</t>
  </si>
  <si>
    <t>Ethylene glycol monobutyl ether</t>
  </si>
  <si>
    <t>Diethylene glycol monomethyl ether</t>
  </si>
  <si>
    <t>Diethylene glycol monoethyl ether</t>
  </si>
  <si>
    <t>Diethylene glycol monobutyl ether</t>
  </si>
  <si>
    <t>Diethylene glycol dimethylether</t>
  </si>
  <si>
    <t>Propylene glycol monomethyl ether</t>
  </si>
  <si>
    <t>Propylene glycol monobutylether</t>
  </si>
  <si>
    <t>Dipropylene glycol monomethyl ether</t>
  </si>
  <si>
    <t>Dipropylene glycol monobutylether</t>
  </si>
  <si>
    <t>Dipropylene glycol dimethylether</t>
  </si>
  <si>
    <t>Ethylenebisstearamides</t>
  </si>
  <si>
    <t>Hydroxyl ethyl cellulose</t>
  </si>
  <si>
    <t>Hydroxypropyl methyl cellulose</t>
  </si>
  <si>
    <t>1-methyl-2-pyrrolidone</t>
  </si>
  <si>
    <t>Trimethyl pentanediol mono-isobutyrate</t>
  </si>
  <si>
    <t>Piperidinol-propanetricarboxylate salt</t>
  </si>
  <si>
    <t>Diethylaminopropyl-DAS</t>
  </si>
  <si>
    <t>Methylbenzamide-DAS</t>
  </si>
  <si>
    <t>Pentaerythritol-tetrakis-phenol-propionate</t>
  </si>
  <si>
    <t>Denatonium benzoate</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</si>
  <si>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</si>
  <si>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</si>
  <si>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</si>
  <si>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</si>
  <si>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</si>
  <si>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</si>
  <si>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</si>
  <si>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</si>
  <si>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</si>
  <si>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</si>
  <si>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</si>
  <si>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</si>
  <si>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</si>
  <si>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</si>
  <si>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</si>
  <si>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Aerobic</t>
  </si>
  <si>
    <t>C12-18, ≥2 - ≤10 EO Carboxymethylated, sodium salt or acid</t>
  </si>
  <si>
    <t>TF (Acute)</t>
  </si>
  <si>
    <t>TF (Chronic)</t>
  </si>
  <si>
    <t>Anaerobic</t>
  </si>
  <si>
    <t>TF chronic</t>
  </si>
  <si>
    <t>Other</t>
  </si>
  <si>
    <t>Active content (AC)</t>
  </si>
  <si>
    <t>(in g/100g product)</t>
  </si>
  <si>
    <t>(in l/100g product)</t>
  </si>
  <si>
    <t>(in l/g AC)</t>
  </si>
  <si>
    <t>Surfactant not readily biodegradable</t>
  </si>
  <si>
    <t>Surfactant anaerobically non- biodegradable</t>
  </si>
  <si>
    <t>Organic substance not readily biodegradable</t>
  </si>
  <si>
    <t>(in mg/g AC)</t>
  </si>
  <si>
    <t xml:space="preserve">Product name: </t>
  </si>
  <si>
    <t>Fill-in only if substance not included in the DID-list</t>
  </si>
  <si>
    <t>Exemption for anNBO</t>
  </si>
  <si>
    <t>CDV</t>
  </si>
  <si>
    <t>aNBO</t>
  </si>
  <si>
    <t>anNBO</t>
  </si>
  <si>
    <t>CDV chronic</t>
  </si>
  <si>
    <t>CDV chronic (l/g AC)</t>
  </si>
  <si>
    <t>Límit CDV (l/g AC)</t>
  </si>
  <si>
    <t xml:space="preserve">I declare that the critical dilution volume (CDVchronic) of the product is within the indicated limits: </t>
  </si>
  <si>
    <t xml:space="preserve">a) </t>
  </si>
  <si>
    <t>Biodegradability of surfactants</t>
  </si>
  <si>
    <t>I declare that all surfactants included in the product are readily degradable under aerobic conditions and biodegradable under anaerobic conditions</t>
  </si>
  <si>
    <t xml:space="preserve">b) </t>
  </si>
  <si>
    <t>Biodegradability of organic ingoing substances</t>
  </si>
  <si>
    <t>Límit aNBO (mg/g AC)</t>
  </si>
  <si>
    <t>aNBO (mg/g AC)</t>
  </si>
  <si>
    <t>Límit anNBO (mg/g AC)</t>
  </si>
  <si>
    <t>anNBO (mg/g AC)</t>
  </si>
  <si>
    <t xml:space="preserve">Verification </t>
  </si>
  <si>
    <t>Identity preserved</t>
  </si>
  <si>
    <t>Segregated</t>
  </si>
  <si>
    <t>Mass balance</t>
  </si>
  <si>
    <t>RSPO</t>
  </si>
  <si>
    <t>RSPO number</t>
  </si>
  <si>
    <t>Colorant</t>
  </si>
  <si>
    <t>Preservative</t>
  </si>
  <si>
    <t>Fragrance</t>
  </si>
  <si>
    <t xml:space="preserve">Product category: </t>
  </si>
  <si>
    <t>The product includes a refilling option</t>
  </si>
  <si>
    <t>Primary packaging</t>
  </si>
  <si>
    <t>The product is sold with secondary packaging</t>
  </si>
  <si>
    <t>Part of the primary packaging</t>
  </si>
  <si>
    <t>Part of the secondary packaging</t>
  </si>
  <si>
    <t>Weight of non-renewable + non-recycled in g</t>
  </si>
  <si>
    <t>Weight of secondary packaging part in g</t>
  </si>
  <si>
    <t xml:space="preserve">Weight of packaging (W) in grams: </t>
  </si>
  <si>
    <t xml:space="preserve">Weight of non-renewable + non recycled (N) in grams: </t>
  </si>
  <si>
    <t>Proportional weight of the secondary packaging:</t>
  </si>
  <si>
    <t>Refill packaging</t>
  </si>
  <si>
    <t xml:space="preserve">PIR= </t>
  </si>
  <si>
    <t xml:space="preserve">Weight of packaging (Wrefill) in grams: </t>
  </si>
  <si>
    <t xml:space="preserve">Weight of non-renewable + non recycled (Nrefill) in grams: </t>
  </si>
  <si>
    <t>Primary packaging and product (m1) in grams</t>
  </si>
  <si>
    <t>Primary packaging and product residue in normal conditions of use (m2) in grams</t>
  </si>
  <si>
    <t>Primary packaging emptied and cleaned  (m3) in grams</t>
  </si>
  <si>
    <t xml:space="preserve">R= </t>
  </si>
  <si>
    <t>Restrictions on ingoing substances classified under Regulation (EC) No 1272/2008</t>
  </si>
  <si>
    <t>I declare that the content of organic substances in the product that are not readily biodegradable or anaerobically non-biodegradable is below the indicated limits:</t>
  </si>
  <si>
    <t xml:space="preserve">Results Criterion 5(b) Packaging Impact Ratio (PIR) </t>
  </si>
  <si>
    <t>Results Criterion 1 Toxicity to aquatic organisms and Criterion 2 Biodegradability</t>
  </si>
  <si>
    <t xml:space="preserve">c) </t>
  </si>
  <si>
    <t>(i)</t>
  </si>
  <si>
    <t>(ii)</t>
  </si>
  <si>
    <t xml:space="preserve">d) </t>
  </si>
  <si>
    <t>Container</t>
  </si>
  <si>
    <t>Label or sleeve</t>
  </si>
  <si>
    <t>Adhesive</t>
  </si>
  <si>
    <t>Barrier coating</t>
  </si>
  <si>
    <t>Packaging element</t>
  </si>
  <si>
    <t>Criterion 6- Sustainable sourcing of palm oil, palm kernel oil and their derivatives</t>
  </si>
  <si>
    <t>I declare that the product contains ingoing substances derived from palm oil or palm kernel oil</t>
  </si>
  <si>
    <t>I declare that the product does not contain ingoing substances derived neither from palm oil or palm kernel oil, nor from chemical derivatives of palm oil and for palm kernel oil</t>
  </si>
  <si>
    <t>I declare that the palm oil or the palm kernel oil used in the manufacturing of the ingoing substances originates from sustainably managed plantations.</t>
  </si>
  <si>
    <t>I declare that the palm oil or the palm kernel oil used in the manufacturing of the ingoing substances is covered by a Chain of Custody certificate (CoC).</t>
  </si>
  <si>
    <t>Derogated substance</t>
  </si>
  <si>
    <t>Below measurement threshold</t>
  </si>
  <si>
    <t>All the ingoing substances included in the formulation of the product appear in the DID list Part A</t>
  </si>
  <si>
    <t>A substance is exempted from the requirement for anaerobic biodegradability</t>
  </si>
  <si>
    <t>Supporting evidence required:</t>
  </si>
  <si>
    <t xml:space="preserve">Description of the product: </t>
  </si>
  <si>
    <t xml:space="preserve">Ingoing substances </t>
  </si>
  <si>
    <t>Ingoing substances- DID numbers</t>
  </si>
  <si>
    <t>Ingredient trade name</t>
  </si>
  <si>
    <t>CAS no.</t>
  </si>
  <si>
    <t>DID  no.</t>
  </si>
  <si>
    <t xml:space="preserve">Ingredient name </t>
  </si>
  <si>
    <t>Liquid</t>
  </si>
  <si>
    <t>Solid</t>
  </si>
  <si>
    <t>Renewable ingredient</t>
  </si>
  <si>
    <t>Renewable ingredients</t>
  </si>
  <si>
    <t>Palm oil</t>
  </si>
  <si>
    <t>Palm kernel oil</t>
  </si>
  <si>
    <t>Palm oil or palm kernel oil derivates</t>
  </si>
  <si>
    <t>Supplier declarations</t>
  </si>
  <si>
    <t xml:space="preserve">I declare that the final product contains the following derogated substances from restricted substances: </t>
  </si>
  <si>
    <t>Substance</t>
  </si>
  <si>
    <t>Hazard statement</t>
  </si>
  <si>
    <t>Name of the substance</t>
  </si>
  <si>
    <t>Concentration in the final product (%)</t>
  </si>
  <si>
    <t>H412</t>
  </si>
  <si>
    <t>I declare that the final product contains the following exempted substances:</t>
  </si>
  <si>
    <t>Enzymes (including stabilisers and preservatives in the enzyme raw material) if they are in liquid form or as granulate capsules</t>
  </si>
  <si>
    <t>Restricted substances</t>
  </si>
  <si>
    <t>Excluded substances</t>
  </si>
  <si>
    <t>Specified excluded substances</t>
  </si>
  <si>
    <t>I declare that the latest list of endocrine disrupting substances has been used on the date of this declaration.</t>
  </si>
  <si>
    <t>I declare that the final product does not contain any of the specified excluded substances listed in the Criterion 4(b) of the Commission Decision.</t>
  </si>
  <si>
    <t>Restrictions of Substances of Very High Concern (SVHCs)</t>
  </si>
  <si>
    <t xml:space="preserve">I declare that the final product does not contain any ingoing substances that have been identified in accordance with the procedure described in Article 59 of Regulation (EU) No 1907/2006. </t>
  </si>
  <si>
    <t>I declare that the latest list of SVHCs has been used on the date of this declaration.</t>
  </si>
  <si>
    <t>Fragrances</t>
  </si>
  <si>
    <t>I declare that the final product does not contain fragrance substances.</t>
  </si>
  <si>
    <t>I declare that all the fragrances included in the product are manufactured and handled following the code of practice of the International Fragrance Association (IFRA).</t>
  </si>
  <si>
    <t xml:space="preserve">e) </t>
  </si>
  <si>
    <t>Preservatives</t>
  </si>
  <si>
    <t>I declare that all the preservatives included in the product have the unique purpose of preserving the product; therefore, they are present in the dosage appropriate for this purpose.</t>
  </si>
  <si>
    <t>I declare that the final product does not contain preservatives with a H317 or H334 hazard statement, regardless of the concentration.</t>
  </si>
  <si>
    <t>I declare that all the preservatives included in the product are not bio-accumulating:</t>
  </si>
  <si>
    <t>log Kow:</t>
  </si>
  <si>
    <t xml:space="preserve">BCF: </t>
  </si>
  <si>
    <t>I declare that the final product does not contain preservatives.</t>
  </si>
  <si>
    <t xml:space="preserve">f) </t>
  </si>
  <si>
    <t>Colorants</t>
  </si>
  <si>
    <t>I declare that the final product does not contain colorants.</t>
  </si>
  <si>
    <t>I declare that the final product does not contain colorants with a H317 or H334 hazard statement, regardless of the concentration.</t>
  </si>
  <si>
    <t>I declare that all the colorants included in the product are not bio-accumulating.:</t>
  </si>
  <si>
    <t>or</t>
  </si>
  <si>
    <t>I declare that the final product has achieved at least the minimum capacity to fulfil its primary function and any secondary function claimed.</t>
  </si>
  <si>
    <t xml:space="preserve">I declare that the logo is used according to the logo guidelines. </t>
  </si>
  <si>
    <t>I declare that the EU Ecolabel registration/licence number appears on the product
and it is used according to the logo guidelines</t>
  </si>
  <si>
    <t xml:space="preserve">Sample of the product label or artwork of the packaging where the EU Ecolabel is placed. </t>
  </si>
  <si>
    <t xml:space="preserve">Palm oil or palm kernel oil mass balance certified is only accepted before 2025 </t>
  </si>
  <si>
    <t>Readily biodegradable</t>
  </si>
  <si>
    <t>Leave-on</t>
  </si>
  <si>
    <t>No bioaccumulable</t>
  </si>
  <si>
    <t>Results Criterion 6 Sustainable sourcing of palm oil, palm kernel oil and their derivatives</t>
  </si>
  <si>
    <t>General information of the product:</t>
  </si>
  <si>
    <t>PROCEDURE FOR ESTABLISHING PARAMETER VALUES FOR SUBSTANCES NOT ON THE DID-LIST</t>
  </si>
  <si>
    <t>The following approach applies for substances that are not listed on
the DID-list.</t>
  </si>
  <si>
    <t>Aquatic toxicity:</t>
  </si>
  <si>
    <t>CDV is calculated based on the chronic toxicity and chronic safety factors. If no chronic test results are available, the acute toxicity and safety factor must be used and vice versa.</t>
  </si>
  <si>
    <t>The chronic toxicity factor (TFchronic)</t>
  </si>
  <si>
    <t>If the median value for the trophic level exceeds the water solubility, the value is set to 100 mg/L.</t>
  </si>
  <si>
    <t>The Chronic toxicity factor (TFchronic) is the lowest median (NOEC or EC10) of the trophic levels divided by the safety factor (SF).</t>
  </si>
  <si>
    <t>The TFchronic shall be used when calculating the critical dilution volume criterion.</t>
  </si>
  <si>
    <t>Calculate the Median value within each trophic level (fish, crustaceans or algae) using validated test results (NOEC or EC10) for chronic toxicity. If several test results are available for one species within a trophic level, a median for the species shall be calculated first, and these median values shall be used when calculating the median value for the trophic level.</t>
  </si>
  <si>
    <t>-</t>
  </si>
  <si>
    <t>The acute toxicity factor (TFacute)</t>
  </si>
  <si>
    <t>The Acute toxicity factor (TFacute) is the lowest median (LC50 or EC50) of the trophic levels divided by the safety factor (SF).</t>
  </si>
  <si>
    <t xml:space="preserve">Calculate the Median value within each trophic level (fish, crustaceans or algae) using validated test results (LC50 and/or EC50) for acute toxicity. If several test results are available for one species within a trophic level, a median for the species shall be calculated first, and these median values shall be used when calculating the median value for the trophic level. </t>
  </si>
  <si>
    <t>Safety Factor:</t>
  </si>
  <si>
    <t>The Safety Factor (SF) is depending on how many trophic levels are tested, and whether chronic test results are available or not. SF is determined as follows:</t>
  </si>
  <si>
    <t>Data</t>
  </si>
  <si>
    <t>Toxicity/10000</t>
  </si>
  <si>
    <t>Toxicity/5000</t>
  </si>
  <si>
    <t>Toxicity/1000</t>
  </si>
  <si>
    <t>One long-term NOEC or EC10 (fish or crustaceans)</t>
  </si>
  <si>
    <t>Toxicity/100</t>
  </si>
  <si>
    <t>Toxicity/50</t>
  </si>
  <si>
    <t>Toxicity/10</t>
  </si>
  <si>
    <t>Safety factor (SF)</t>
  </si>
  <si>
    <t>Toxicity factor (TF)</t>
  </si>
  <si>
    <t>Aerobic biodegradability</t>
  </si>
  <si>
    <t>Category</t>
  </si>
  <si>
    <t>Inherently biodegradable, but not ready biodegradable</t>
  </si>
  <si>
    <t>Persisten</t>
  </si>
  <si>
    <t>Not tested for aerobic biodegradability</t>
  </si>
  <si>
    <t>Label</t>
  </si>
  <si>
    <t>Degradation Factors</t>
  </si>
  <si>
    <t>The Degradation Factor (DF) is defined as follows:</t>
  </si>
  <si>
    <t>Readily biodegradable (*)</t>
  </si>
  <si>
    <t>Readily biodegradable (**)</t>
  </si>
  <si>
    <t>Inherently biodegradable</t>
  </si>
  <si>
    <t>Persistent</t>
  </si>
  <si>
    <t>Anaerobic biodegradability</t>
  </si>
  <si>
    <t>Anaerobically not biodegradable, i.e. tested and found not biodegradable</t>
  </si>
  <si>
    <t>Not tested for anaerobic biodegradability</t>
  </si>
  <si>
    <t>Anaerobically biodegradable i.e. tested and found biodegradable or not tested but demonstrated through analogy considerations etc</t>
  </si>
  <si>
    <t xml:space="preserve">Category </t>
  </si>
  <si>
    <t>Organic substance anaerobically non biodegradable</t>
  </si>
  <si>
    <t xml:space="preserve">Límit: </t>
  </si>
  <si>
    <t>Result:</t>
  </si>
  <si>
    <t xml:space="preserve">Criterion 8- Information on EU Ecolabel  </t>
  </si>
  <si>
    <t>Criterion 7- Fitness for use</t>
  </si>
  <si>
    <t xml:space="preserve">Results Criterion 5(c) Information and design of primary packaging </t>
  </si>
  <si>
    <t xml:space="preserve">Number of foreseen refillings (r) </t>
  </si>
  <si>
    <t>Weight of the product in the packaging (D) in grams</t>
  </si>
  <si>
    <t>Amount of packs in secondary packaging</t>
  </si>
  <si>
    <t>Weight of the product in the packaging (Drefill) in grams</t>
  </si>
  <si>
    <t>SDS of the ingredients</t>
  </si>
  <si>
    <t xml:space="preserve">Comments: </t>
  </si>
  <si>
    <t>Material</t>
  </si>
  <si>
    <t xml:space="preserve">Name: </t>
  </si>
  <si>
    <t>Date:</t>
  </si>
  <si>
    <t>Version:</t>
  </si>
  <si>
    <t>Product name</t>
  </si>
  <si>
    <t>Packaging size (L)</t>
  </si>
  <si>
    <t xml:space="preserve">Description of the packaging: </t>
  </si>
  <si>
    <t>Product name:</t>
  </si>
  <si>
    <t>Applicant/Licence holder:</t>
  </si>
  <si>
    <t>Licence number:</t>
  </si>
  <si>
    <t>Countries of availability</t>
  </si>
  <si>
    <t>User or distributor (if deviates from licence holder)</t>
  </si>
  <si>
    <t>Manufacturer and place of manufacture (if deviates from licence holder)</t>
  </si>
  <si>
    <t>I hereby confirm that I have reviewed this document and that the information submitted is true and the amounts and values stated are accurate.</t>
  </si>
  <si>
    <t>I hereby confirm, that the product meets all applicable legal requirements of the country or countries in which the product is intended to be placed on the market</t>
  </si>
  <si>
    <t>2021/1870/EU</t>
  </si>
  <si>
    <t xml:space="preserve"> </t>
  </si>
  <si>
    <t>Company:</t>
  </si>
  <si>
    <t>Position in company:</t>
  </si>
  <si>
    <t>Signature:</t>
  </si>
  <si>
    <t>Rubbing/abrasive agent</t>
  </si>
  <si>
    <t>Impurity</t>
  </si>
  <si>
    <t>Enzyme</t>
  </si>
  <si>
    <t>x</t>
  </si>
  <si>
    <t>No bioavailable (MW&gt;700)</t>
  </si>
  <si>
    <t>Number of refills requires to meet the total refillable quantity (F), rounded up to the next whole number</t>
  </si>
  <si>
    <t>The leave-on product has sun protection function and contains UV filters which are exempted from criterion 3</t>
  </si>
  <si>
    <t>The product contains surfactants (H412) derogated from criterion 4(a)(i) &lt;20%</t>
  </si>
  <si>
    <t>The product is a zinc ointment/cream marketed to heal irritated skin and contains zinc compounds (H10) &lt; 25% which are exempted from criterion 4(a)(iii)</t>
  </si>
  <si>
    <t>The product is a leave-on product with sun protection function and contains titanium dioxide (nano_x0002_form) (H351) derogated from criterion 4(a)(ii) and is not a powder or spray.</t>
  </si>
  <si>
    <t>The product is a leave-on lip care product and does not contain substances 4 (b) (viii)</t>
  </si>
  <si>
    <t>Yes</t>
  </si>
  <si>
    <t>Volume capacity of the refill pack (V) in ml</t>
  </si>
  <si>
    <t xml:space="preserve"> % of recycled material in the primary packaging=</t>
  </si>
  <si>
    <t>Total weight of primary packaging part in g</t>
  </si>
  <si>
    <t>Thereof weight of recycled primary packaging part in g</t>
  </si>
  <si>
    <t>Total weight of non-renewable + non-recycled in g</t>
  </si>
  <si>
    <t>Product is packed in metal aerosol containers</t>
  </si>
  <si>
    <t>The product is for domestic use and is sold with pump that can be opened without compromising the design, a refilling option is provided in the same or higher primary packaging capacity</t>
  </si>
  <si>
    <t>If no pump is offered: a correct dosage is easy and we declare that the opening at the top is not too wide. Refills are exempted from this requirement.</t>
  </si>
  <si>
    <t>Closure</t>
  </si>
  <si>
    <t>Results Criterion 5(d) Design for recycling of plastic packaging*</t>
  </si>
  <si>
    <t>A sentence or a pictogram in relation to empty product disposal (e.g. "when empty, the package/container should be disposed of in a dedicated container for recycling" is on the label)</t>
  </si>
  <si>
    <t>(1) The correct dosage or the appropriate quantity to be used is indicated on the label of the primary packaging together with the following sentence: "using the correct dosage of the product minimises impacts on the environment and saves money."</t>
  </si>
  <si>
    <t>(2) The correct dosage cannot be defined for a specific product because it depends on consumer aspects (e.g. length of the hair), the following sentence is used instead: "dose the product with care so as not to over-consume it unnecessarily"</t>
  </si>
  <si>
    <t>The primary packaging can be manually opened and the residue product can be extracted with adding water</t>
  </si>
  <si>
    <t>(*) Pumps and aerosol containers are exempted from this requirement</t>
  </si>
  <si>
    <t>The product is a "children product" and/or marketed as "mild/sensitive" and is fragrance-free</t>
  </si>
  <si>
    <t>The product is decorative cosmetic or hair dye  (relevance of criteria 4 (f) (iv)</t>
  </si>
  <si>
    <t>Exemptions leave-on</t>
  </si>
  <si>
    <t>Exemptions rinse-off</t>
  </si>
  <si>
    <t>The product is in contact with the mouth (e.g. toothpaste, mouthwash, lip care products, nail polish), Colourants and preservatives has been approved as food additives.</t>
  </si>
  <si>
    <t>Annex II: Animal care products</t>
  </si>
  <si>
    <t>Rinse-off product</t>
  </si>
  <si>
    <t>Animal care product</t>
  </si>
  <si>
    <t>Select for preservatives and colorants</t>
  </si>
  <si>
    <t>Animal care products</t>
  </si>
  <si>
    <t>A correct dosage is easy by using a pump. For liquid soap the pump or dispenser sold with the product provides no more than 2 g (or 3 ml) soap per 
full press.Refills are exempted from this requirement.</t>
  </si>
  <si>
    <t>Volume capacity of the parent pack (V) in ml
(at least 150ml)</t>
  </si>
  <si>
    <t>I declare that the material composition of the product's packaging avoids potential contaminants and incompatible materials to facilitate the effective recycling.  The label or sleeve, closure and, where applicable, barrier coatings shall not comprise, either singularly or in combination the materials and components listed in Table 7 of the Commission Decision. Declarations of the packaging material manufacturers are enclosed to the application.</t>
  </si>
  <si>
    <t>Criterion 3 - Excluded and restricted substances</t>
  </si>
  <si>
    <t>Criterion 2 - Biodegradability of rinse-off products</t>
  </si>
  <si>
    <t>Criterion 1 - Toxicity to aquatic organisms: Critical Dilution Volume (CDV)</t>
  </si>
  <si>
    <t>I enclose studies, data and information on ingredients as supporting information</t>
  </si>
  <si>
    <t>I declare that neither the final product, nor its ingredients nor combination of ingredients have not been tested by animal testing.</t>
  </si>
  <si>
    <t>I declare that the final product does not contain any of the excluded substances with the hazard statements listed in Table 6 of the Commission Decision, regardless of their concentration.</t>
  </si>
  <si>
    <t>I declare that the final product does not contain any of the restricted substances with the hazard statements specified in Table 4 of the Commission Decision and above the indicated threshold levels.</t>
  </si>
  <si>
    <t>I hereby confirm that I have submitted the SDS of the animal care product. Hazard Statement(s) in Chapter 2 of the SDS:</t>
  </si>
  <si>
    <t>Moreover I declare the following (select the relevant option from the drop-down lists below)</t>
  </si>
  <si>
    <t>(3) A sentence or a pictogram in relation to empty product disposal (e.g. "when empty, the package/container should be disposed of in a dedicated container for recycling" is on the label)</t>
  </si>
  <si>
    <t>If (1), (2), (3) is not on the label we declare:  the dimensions do not allow a proper display due to lack of space or text legibility.</t>
  </si>
  <si>
    <t>Template September 2023</t>
  </si>
  <si>
    <t>Glyceryl caprylate</t>
  </si>
  <si>
    <t>Behanamidopropyl dimethylamine</t>
  </si>
  <si>
    <t>Dehydroacetic acid</t>
  </si>
  <si>
    <t>Ethylhexylglycerin</t>
  </si>
  <si>
    <t>Triethyl citrate</t>
  </si>
  <si>
    <t>Isopropyl laurate</t>
  </si>
  <si>
    <t>Butylene glycol</t>
  </si>
  <si>
    <t>Pentylene glycol</t>
  </si>
  <si>
    <t>Hexylene glycol</t>
  </si>
  <si>
    <t>Trimethylene glycol</t>
  </si>
  <si>
    <t>Ethylhexyl stearate</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</si>
  <si>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</si>
  <si>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</si>
  <si>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</si>
  <si>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</si>
  <si>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</si>
  <si>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</si>
  <si>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</si>
  <si>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</si>
  <si>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</si>
  <si>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</si>
  <si>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</si>
  <si>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Isopropyl myristate</t>
  </si>
  <si>
    <t>Isopropyl palmitate</t>
  </si>
  <si>
    <t>Ascorbyl palmitate</t>
  </si>
  <si>
    <t>Cetyl palmitate</t>
  </si>
  <si>
    <t>Detergents Ingredients Database, version 2023. Part A</t>
  </si>
  <si>
    <t>Detergents Ingredients Database, version 2023. Part B</t>
  </si>
  <si>
    <r>
      <t xml:space="preserve">As a general rule the listed parameter values must be used for all substances on the DID-list. An exception is made for perfumes and dyes, where additional test results are accepted </t>
    </r>
    <r>
      <rPr>
        <b/>
        <sz val="10"/>
        <rFont val="Arial"/>
        <family val="2"/>
      </rPr>
      <t>and for block polymers, where additional degradability data are accepted</t>
    </r>
    <r>
      <rPr>
        <sz val="10"/>
        <rFont val="Arial"/>
        <family val="2"/>
      </rPr>
      <t xml:space="preserve"> (see footnote in Part A). </t>
    </r>
    <r>
      <rPr>
        <b/>
        <sz val="10"/>
        <rFont val="Arial"/>
        <family val="2"/>
      </rPr>
      <t>If data is missing, the procedure described below for ingredients not listed on the DID-list can be applied.</t>
    </r>
  </si>
  <si>
    <t>The TFacute shall be used when calculating the critical dilution volume criterion.</t>
  </si>
  <si>
    <t xml:space="preserve">One short-term L(E)C50  
50 
</t>
  </si>
  <si>
    <t>Two short-term L(E)C50 from species representing two trophic levels (fish, crustaceans, and algae)</t>
  </si>
  <si>
    <t>Three short-term L(E)C50 from species representing three trophic levels (fish, crustaceans, and algae)</t>
  </si>
  <si>
    <t>Two long-term NOEC or EC10 from species representing two trophic levels (fish, crustaceans, and algae)</t>
  </si>
  <si>
    <t>Long-term NOEC or EC10 from species representing three trophic levels (fish, crustaceans, and algae)</t>
  </si>
  <si>
    <t>The ingredient must be tested according to test methods OECD 203/212 (fish, acute toxicity), OECD 210 (fish, chronic toxicity), OECD 202 (crustaceans, acute toxicity), OECD 211 (crustaceans, chronic toxicity) and OECD 201 (algae, acute and chronic toxicity) or equivalent test methods.</t>
  </si>
  <si>
    <t>The ingredient must be classified into one of the following classes of compounds:</t>
  </si>
  <si>
    <t xml:space="preserve">The ingredient must be tested according to test method OECD 301 A-F or 310 (readily biodegradable) or 302 A-C (inherently biodegradable). </t>
  </si>
  <si>
    <t xml:space="preserve">(*) All surfactants or other ingredients consisting of a series of homologues and fulfilling the final degradation requirement of the test, shall be included in this class regardless of fulfilment of the 10-day window criterion. </t>
  </si>
  <si>
    <t>(**) 10-day window criterion not fulfilled. 
For inorganic ingredients the DF is 0,05 for nutrients, such as sodium nitrate, phosphate or ammonia and 1 for other inorganic ingredients, such as zeolite, silicates, perborates, sulphamic acid.</t>
  </si>
  <si>
    <t>The ingredient must be tested according to test method OECD 311, ISO 11734, or ECOTEC nr. 28 (June 1988) or equivalent test methods.</t>
  </si>
  <si>
    <t>Ingredients with no available data</t>
  </si>
  <si>
    <t>For ingredients with no data regarding aquatic toxicity and degradability, structure analogies with similar ingredients may be used to assess the TF and DF. Such structure analogies shall be carried out by an independent third party and approved by the competent body granting the license. Alternatively, a worst-case approach shall be applied using the parameters below:</t>
  </si>
  <si>
    <t xml:space="preserve">Acute toxicity </t>
  </si>
  <si>
    <t>LC50/EC50</t>
  </si>
  <si>
    <t>SFacute</t>
  </si>
  <si>
    <t>TFacute</t>
  </si>
  <si>
    <t>NOEC(*)</t>
  </si>
  <si>
    <t>SFchronic(*)</t>
  </si>
  <si>
    <t>TFchronic</t>
  </si>
  <si>
    <t>1 mg/l</t>
  </si>
  <si>
    <t>10 000</t>
  </si>
  <si>
    <t>If no acceptable chronic toxicity data are found, TFchronic is defined as equal to TFacute.</t>
  </si>
  <si>
    <t>C16-18 Alkyl ether sulphate, ≥1 - ≤ 4 EO</t>
  </si>
  <si>
    <t xml:space="preserve">Aspartic acid, N-(3-carboxy-1-oxo-sulfopropyl)-N-(C16-C18 (even numbered), C18 unsaturated alkyl) tetrasodium salts </t>
  </si>
  <si>
    <t>Soap C12-22 (Remark: fatty acids are listed in DID 2520)</t>
  </si>
  <si>
    <t xml:space="preserve">Lauroyl Sarcosinate    </t>
  </si>
  <si>
    <t>iso-C13 Alcohol, ≤ 2,5 EO</t>
  </si>
  <si>
    <t>iso-C13 Alcohol, &gt;2,5 - ≤6 EO</t>
  </si>
  <si>
    <t>iso-C13 Alcohol, ≥7 - &lt;20 EO</t>
  </si>
  <si>
    <t>C12-14 Alkyl polyglycoside</t>
  </si>
  <si>
    <t>C16-18 Alkyl polyglycoside</t>
  </si>
  <si>
    <t xml:space="preserve">Coconut fatty acid monoethanolamide 4 and 5 EO   </t>
  </si>
  <si>
    <t xml:space="preserve">Amines, C18 saturated and unsaturated, ≤2,5 EO </t>
  </si>
  <si>
    <t xml:space="preserve">Amines, C18 saturated and unsaturated, ≥5 - ≤15 EO </t>
  </si>
  <si>
    <t>C8-11 Alcohol, predominately linear, ≤2,5 EO</t>
  </si>
  <si>
    <t>C8-11 Alcohol, predominately linear, &gt;2,5 - ≤10 EO</t>
  </si>
  <si>
    <t>C8-11 Alcohol, predominately linear, &gt;10 EO</t>
  </si>
  <si>
    <t>C9-11 Alcohol, branched, ≤2,5 EO</t>
  </si>
  <si>
    <t>C14-15 Alcohol, predominately linear, &gt;2,5 - ≤10 EO</t>
  </si>
  <si>
    <t xml:space="preserve">O </t>
  </si>
  <si>
    <t>C10-16 Alkyl polyglycoside (even numbered)</t>
  </si>
  <si>
    <t xml:space="preserve">Benzyl alcohol              </t>
  </si>
  <si>
    <t xml:space="preserve">Chloroacetamide      </t>
  </si>
  <si>
    <t xml:space="preserve">Diazolinidylurea         </t>
  </si>
  <si>
    <t xml:space="preserve">Formaldehyde               </t>
  </si>
  <si>
    <t xml:space="preserve">Glutaraldehyde         </t>
  </si>
  <si>
    <t xml:space="preserve">o-Phenylphenol          </t>
  </si>
  <si>
    <t xml:space="preserve">Sodium benzoate          </t>
  </si>
  <si>
    <t xml:space="preserve">Triclosan                   </t>
  </si>
  <si>
    <t xml:space="preserve">Paraffin (CAS 8002-74-2)                  </t>
  </si>
  <si>
    <t xml:space="preserve">Glycerol, sorbitol and xylitol                  </t>
  </si>
  <si>
    <t xml:space="preserve">Phosphate, as STPP   </t>
  </si>
  <si>
    <t xml:space="preserve">Zeolite (Insoluble inorganic)                       </t>
  </si>
  <si>
    <t xml:space="preserve">Citrate and citric acid                      </t>
  </si>
  <si>
    <t xml:space="preserve">Polycarboxylates homopolymer of acrylic acid                </t>
  </si>
  <si>
    <t xml:space="preserve">Polycarboxylates copolymer of acrylic/maleic acid               </t>
  </si>
  <si>
    <t xml:space="preserve">EDTA                        </t>
  </si>
  <si>
    <t xml:space="preserve">Phosphonates             </t>
  </si>
  <si>
    <t xml:space="preserve">EDDS                         </t>
  </si>
  <si>
    <t xml:space="preserve">Clay (Insoluble inorganic)          </t>
  </si>
  <si>
    <t xml:space="preserve">Carbonates                  </t>
  </si>
  <si>
    <t xml:space="preserve">Fatty acids, C≥14-C≤22 (even numbered) (Remark: soap is listed in DID 2025)    </t>
  </si>
  <si>
    <t xml:space="preserve">Soluble Silicates                   </t>
  </si>
  <si>
    <t xml:space="preserve">C1-C3 alcohols                </t>
  </si>
  <si>
    <t xml:space="preserve">Sodium and magnesium sulphate        </t>
  </si>
  <si>
    <t xml:space="preserve">Calcium- and sodium chloride </t>
  </si>
  <si>
    <t xml:space="preserve">Urea                          </t>
  </si>
  <si>
    <t>Silicon dioxide, crystalline and amorphous (insoluble inorganic)</t>
  </si>
  <si>
    <t xml:space="preserve">Na-/Mg-/KOH         </t>
  </si>
  <si>
    <t xml:space="preserve">Anionic polyester       </t>
  </si>
  <si>
    <t xml:space="preserve">PVNO/PVPI                              </t>
  </si>
  <si>
    <t xml:space="preserve">Iminodisuccinat </t>
  </si>
  <si>
    <t>Flourescent Whitening Agents 1</t>
  </si>
  <si>
    <t>Flourescent Whitening Agents 5</t>
  </si>
  <si>
    <t xml:space="preserve">1-decanol                 </t>
  </si>
  <si>
    <t xml:space="preserve">Methyl laurate          </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</si>
  <si>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</si>
  <si>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</si>
  <si>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</si>
  <si>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</si>
  <si>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</si>
  <si>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</si>
  <si>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</si>
  <si>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</si>
  <si>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</si>
  <si>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</si>
  <si>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</si>
  <si>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</si>
  <si>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</si>
  <si>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</si>
  <si>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 xml:space="preserve">Diethylene glycol        </t>
  </si>
  <si>
    <t xml:space="preserve">Propylene glycol       </t>
  </si>
  <si>
    <t xml:space="preserve">Dipropylene glycol     </t>
  </si>
  <si>
    <t xml:space="preserve">Triethylene glycol      </t>
  </si>
  <si>
    <t xml:space="preserve">Tall oil                      </t>
  </si>
  <si>
    <t xml:space="preserve">Sodium gluconate      </t>
  </si>
  <si>
    <t xml:space="preserve">Glycol distearate       </t>
  </si>
  <si>
    <t xml:space="preserve">Xanthan gum             </t>
  </si>
  <si>
    <t xml:space="preserve">Benzotriazole           </t>
  </si>
  <si>
    <t xml:space="preserve">Block polymers (***)     </t>
  </si>
  <si>
    <t xml:space="preserve">Succinate                   </t>
  </si>
  <si>
    <t xml:space="preserve">Polyaspartic acid          </t>
  </si>
  <si>
    <t xml:space="preserve">Diethylamino hydroxybenzoyl hexyl benzoate </t>
  </si>
  <si>
    <t xml:space="preserve">Betaine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</si>
</sst>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 &quot;#,##0.00\ ;&quot;-€ &quot;#,##0.00\ ;&quot; € -&quot;#\ ;@\ "/>
    <numFmt numFmtId="165" formatCode="0.0"/>
    <numFmt numFmtId="166" formatCode="0.0000"/>
    <numFmt numFmtId="167" formatCode="0.000000"/>
  </numFmts>
  <fonts count="19">
    <font>
      <sz val="10"/>
      <name val="Arial"/>
      <family val="2"/>
    </font>
    <font>
      <sz val="10"/>
      <name val="Arial"/>
      <family val="2"/>
    </font>
    <font>
      <b/>
      <sz val="12"/>
      <name val="Arial"/>
      <family val="2"/>
    </font>
    <font>
      <b/>
      <sz val="12"/>
      <color theme="0"/>
      <name val="Arial"/>
      <family val="2"/>
    </font>
    <font>
      <sz val="12"/>
      <name val="Arial"/>
      <family val="2"/>
    </font>
    <font>
      <b/>
      <sz val="16"/>
      <name val="Arial"/>
      <family val="2"/>
    </font>
    <font>
      <b/>
      <sz val="14"/>
      <name val="Arial"/>
      <family val="2"/>
    </font>
    <font>
      <b/>
      <sz val="10"/>
      <name val="Arial"/>
      <family val="2"/>
    </font>
    <font>
      <sz val="10"/>
      <color theme="0"/>
      <name val="Arial"/>
      <family val="2"/>
    </font>
    <font>
      <b/>
      <sz val="10"/>
      <color theme="0"/>
      <name val="Arial"/>
      <family val="2"/>
    </font>
    <font>
      <sz val="8"/>
      <color theme="0"/>
      <name val="Arial"/>
      <family val="2"/>
    </font>
    <font>
      <u/>
      <sz val="9"/>
      <color indexed="12"/>
      <name val="Geneva"/>
    </font>
    <font>
      <sz val="10"/>
      <color rgb="FFFF0000"/>
      <name val="Arial"/>
      <family val="2"/>
    </font>
    <font>
      <sz val="11"/>
      <color theme="0"/>
      <name val="Arial"/>
      <family val="2"/>
    </font>
    <font>
      <sz val="12"/>
      <color theme="0"/>
      <name val="Arial"/>
      <family val="2"/>
    </font>
    <font>
      <b/>
      <sz val="11"/>
      <name val="Arial"/>
      <family val="2"/>
    </font>
    <font>
      <sz val="10"/>
      <name val="Webdings"/>
      <family val="1"/>
      <charset val="2"/>
    </font>
    <font>
      <sz val="8"/>
      <name val="Arial"/>
      <family val="2"/>
    </font>
    <font>
      <b/>
      <sz val="10"/>
      <color theme="3" tint="0.3999755851924192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indexed="43"/>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ck">
        <color rgb="FF000000"/>
      </right>
      <top/>
      <bottom style="thick">
        <color rgb="FF000000"/>
      </bottom>
      <diagonal/>
    </border>
    <border>
      <left/>
      <right/>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top style="thick">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medium">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style="medium">
        <color rgb="FF000000"/>
      </left>
      <right/>
      <top style="thick">
        <color rgb="FF000000"/>
      </top>
      <bottom/>
      <diagonal/>
    </border>
    <border>
      <left style="medium">
        <color rgb="FF000000"/>
      </left>
      <right/>
      <top/>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theme="0" tint="-0.499984740745262"/>
      </top>
      <bottom/>
      <diagonal/>
    </border>
    <border>
      <left style="medium">
        <color indexed="64"/>
      </left>
      <right style="medium">
        <color indexed="64"/>
      </right>
      <top style="thin">
        <color theme="0" tint="-0.499984740745262"/>
      </top>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445">
    <xf numFmtId="0" fontId="0" fillId="0" borderId="0" xfId="0"/>
    <xf numFmtId="0" fontId="0" fillId="5" borderId="0" xfId="0" applyFill="1" applyAlignment="1">
      <alignment horizontal="center" vertical="center" wrapText="1"/>
    </xf>
    <xf numFmtId="0" fontId="0" fillId="5" borderId="0" xfId="0" applyFill="1"/>
    <xf numFmtId="0" fontId="6" fillId="5" borderId="0" xfId="0" applyFont="1" applyFill="1" applyAlignment="1">
      <alignment horizontal="right"/>
    </xf>
    <xf numFmtId="0" fontId="0" fillId="4" borderId="6" xfId="0" applyFill="1" applyBorder="1" applyAlignment="1">
      <alignment horizontal="center" vertical="center" wrapText="1"/>
    </xf>
    <xf numFmtId="0" fontId="8" fillId="4" borderId="6" xfId="0" applyFont="1" applyFill="1" applyBorder="1"/>
    <xf numFmtId="0" fontId="0" fillId="5" borderId="6" xfId="0" applyFill="1" applyBorder="1"/>
    <xf numFmtId="0" fontId="0" fillId="0" borderId="6" xfId="0" applyBorder="1" applyProtection="1">
      <protection locked="0"/>
    </xf>
    <xf numFmtId="0" fontId="0" fillId="5" borderId="6" xfId="0" applyFill="1" applyBorder="1" applyProtection="1">
      <protection locked="0"/>
    </xf>
    <xf numFmtId="0" fontId="0" fillId="2" borderId="6" xfId="0" applyFill="1" applyBorder="1" applyProtection="1">
      <protection locked="0"/>
    </xf>
    <xf numFmtId="0" fontId="12" fillId="2" borderId="6" xfId="0" applyFont="1" applyFill="1" applyBorder="1"/>
    <xf numFmtId="0" fontId="0" fillId="5" borderId="0" xfId="0" applyFill="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0" fillId="4" borderId="0" xfId="0" applyFill="1"/>
    <xf numFmtId="0" fontId="0" fillId="0" borderId="6" xfId="0" applyBorder="1"/>
    <xf numFmtId="2" fontId="0" fillId="5" borderId="6" xfId="0" applyNumberFormat="1" applyFill="1" applyBorder="1"/>
    <xf numFmtId="0" fontId="0" fillId="8" borderId="0" xfId="0" applyFill="1"/>
    <xf numFmtId="0" fontId="3" fillId="8" borderId="56" xfId="0" applyFont="1" applyFill="1" applyBorder="1" applyAlignment="1">
      <alignment horizontal="center" vertical="center"/>
    </xf>
    <xf numFmtId="0" fontId="0" fillId="8" borderId="59" xfId="0" applyFill="1" applyBorder="1" applyAlignment="1">
      <alignment horizontal="center"/>
    </xf>
    <xf numFmtId="0" fontId="0" fillId="8" borderId="0" xfId="0" applyFill="1" applyAlignment="1">
      <alignment horizontal="center"/>
    </xf>
    <xf numFmtId="0" fontId="0" fillId="8" borderId="0" xfId="0" applyFill="1" applyAlignment="1">
      <alignment horizontal="center" vertical="center"/>
    </xf>
    <xf numFmtId="0" fontId="0" fillId="8" borderId="56" xfId="0" applyFill="1" applyBorder="1" applyAlignment="1">
      <alignment horizontal="center" vertical="center" wrapText="1"/>
    </xf>
    <xf numFmtId="0" fontId="0" fillId="8" borderId="56" xfId="0" applyFill="1" applyBorder="1" applyAlignment="1">
      <alignment horizontal="center"/>
    </xf>
    <xf numFmtId="0" fontId="0" fillId="5" borderId="67" xfId="0" applyFill="1" applyBorder="1"/>
    <xf numFmtId="0" fontId="0" fillId="5" borderId="0" xfId="0" applyFill="1" applyAlignment="1">
      <alignment horizontal="left" vertical="center" wrapText="1"/>
    </xf>
    <xf numFmtId="0" fontId="16" fillId="5" borderId="57" xfId="0" applyFont="1" applyFill="1" applyBorder="1" applyAlignment="1">
      <alignment horizontal="center" vertical="center"/>
    </xf>
    <xf numFmtId="0" fontId="16" fillId="5" borderId="0" xfId="0" applyFont="1" applyFill="1" applyAlignment="1">
      <alignment horizontal="center" vertical="center"/>
    </xf>
    <xf numFmtId="0" fontId="0" fillId="5" borderId="68" xfId="0" applyFill="1" applyBorder="1"/>
    <xf numFmtId="0" fontId="2" fillId="5" borderId="67" xfId="0" applyFont="1" applyFill="1" applyBorder="1" applyAlignment="1">
      <alignment horizontal="center" vertical="center"/>
    </xf>
    <xf numFmtId="0" fontId="0" fillId="5" borderId="67" xfId="0" applyFill="1" applyBorder="1" applyAlignment="1">
      <alignment vertical="center"/>
    </xf>
    <xf numFmtId="0" fontId="0" fillId="5" borderId="57" xfId="0" applyFill="1" applyBorder="1" applyAlignment="1">
      <alignment vertical="center"/>
    </xf>
    <xf numFmtId="0" fontId="0" fillId="5" borderId="57" xfId="0" applyFill="1" applyBorder="1"/>
    <xf numFmtId="0" fontId="0" fillId="5" borderId="65" xfId="0" applyFill="1" applyBorder="1"/>
    <xf numFmtId="0" fontId="15" fillId="8" borderId="0" xfId="0" applyFont="1" applyFill="1" applyAlignment="1">
      <alignment horizontal="center" vertical="center"/>
    </xf>
    <xf numFmtId="0" fontId="14" fillId="4" borderId="0" xfId="0" applyFont="1" applyFill="1" applyAlignment="1">
      <alignment vertical="center"/>
    </xf>
    <xf numFmtId="0" fontId="0" fillId="8" borderId="68" xfId="0" applyFill="1" applyBorder="1"/>
    <xf numFmtId="0" fontId="0" fillId="8" borderId="59" xfId="0" applyFill="1" applyBorder="1"/>
    <xf numFmtId="0" fontId="0" fillId="8" borderId="67" xfId="0" applyFill="1" applyBorder="1"/>
    <xf numFmtId="0" fontId="0" fillId="8" borderId="67" xfId="0" applyFill="1" applyBorder="1" applyAlignment="1">
      <alignment vertical="center"/>
    </xf>
    <xf numFmtId="0" fontId="0" fillId="8" borderId="65" xfId="0" applyFill="1" applyBorder="1"/>
    <xf numFmtId="0" fontId="0" fillId="8" borderId="56" xfId="0" applyFill="1" applyBorder="1"/>
    <xf numFmtId="0" fontId="14" fillId="4" borderId="68" xfId="0" applyFont="1" applyFill="1" applyBorder="1" applyAlignment="1">
      <alignment vertical="center"/>
    </xf>
    <xf numFmtId="0" fontId="13" fillId="4" borderId="59" xfId="0" applyFont="1" applyFill="1" applyBorder="1" applyAlignment="1">
      <alignment vertical="center"/>
    </xf>
    <xf numFmtId="0" fontId="8" fillId="4" borderId="59" xfId="0" applyFont="1" applyFill="1" applyBorder="1" applyAlignment="1">
      <alignment vertical="center"/>
    </xf>
    <xf numFmtId="0" fontId="0" fillId="4" borderId="59" xfId="0" applyFill="1" applyBorder="1"/>
    <xf numFmtId="0" fontId="12" fillId="4" borderId="59" xfId="0" applyFont="1" applyFill="1" applyBorder="1"/>
    <xf numFmtId="0" fontId="7" fillId="8" borderId="59" xfId="0" applyFont="1" applyFill="1" applyBorder="1" applyAlignment="1">
      <alignment horizontal="center"/>
    </xf>
    <xf numFmtId="0" fontId="0" fillId="5" borderId="56" xfId="0" applyFill="1" applyBorder="1"/>
    <xf numFmtId="0" fontId="14" fillId="4" borderId="67" xfId="0" applyFont="1" applyFill="1" applyBorder="1" applyAlignment="1">
      <alignment vertical="center"/>
    </xf>
    <xf numFmtId="0" fontId="7" fillId="5" borderId="68" xfId="0" applyFont="1" applyFill="1" applyBorder="1"/>
    <xf numFmtId="0" fontId="7" fillId="5" borderId="59" xfId="0" applyFont="1" applyFill="1" applyBorder="1"/>
    <xf numFmtId="0" fontId="7" fillId="5" borderId="69" xfId="0" applyFont="1" applyFill="1" applyBorder="1"/>
    <xf numFmtId="0" fontId="7" fillId="5" borderId="67" xfId="0" applyFont="1" applyFill="1" applyBorder="1"/>
    <xf numFmtId="0" fontId="7" fillId="5" borderId="0" xfId="0" applyFont="1" applyFill="1"/>
    <xf numFmtId="0" fontId="7" fillId="8" borderId="0" xfId="0" applyFont="1" applyFill="1" applyAlignment="1">
      <alignment vertical="center"/>
    </xf>
    <xf numFmtId="0" fontId="0" fillId="5" borderId="0" xfId="0" applyFill="1" applyAlignment="1">
      <alignment horizontal="center"/>
    </xf>
    <xf numFmtId="0" fontId="0" fillId="5" borderId="56" xfId="0" applyFill="1" applyBorder="1" applyAlignment="1">
      <alignment horizontal="center"/>
    </xf>
    <xf numFmtId="0" fontId="9" fillId="6" borderId="58" xfId="0" applyFont="1" applyFill="1" applyBorder="1" applyAlignment="1">
      <alignment horizontal="center" vertical="center"/>
    </xf>
    <xf numFmtId="0" fontId="15" fillId="8" borderId="1" xfId="0" applyFont="1" applyFill="1" applyBorder="1" applyAlignment="1">
      <alignment horizontal="center" vertical="center"/>
    </xf>
    <xf numFmtId="0" fontId="7" fillId="8" borderId="67" xfId="0" applyFont="1" applyFill="1" applyBorder="1" applyAlignment="1">
      <alignment vertical="center"/>
    </xf>
    <xf numFmtId="0" fontId="8" fillId="8" borderId="0" xfId="0" applyFont="1" applyFill="1" applyAlignment="1">
      <alignment vertical="center"/>
    </xf>
    <xf numFmtId="0" fontId="0" fillId="5" borderId="66" xfId="0" applyFill="1" applyBorder="1"/>
    <xf numFmtId="0" fontId="7"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1" xfId="0" applyFont="1" applyFill="1" applyBorder="1" applyAlignment="1">
      <alignment horizontal="right" vertical="center" wrapText="1"/>
    </xf>
    <xf numFmtId="0" fontId="0" fillId="5" borderId="0" xfId="0" applyFill="1" applyAlignment="1">
      <alignment wrapText="1"/>
    </xf>
    <xf numFmtId="0" fontId="0" fillId="5" borderId="0" xfId="0" applyFill="1" applyAlignment="1">
      <alignment horizontal="left" vertical="top" wrapText="1"/>
    </xf>
    <xf numFmtId="0" fontId="7" fillId="5" borderId="60" xfId="0" applyFont="1" applyFill="1" applyBorder="1" applyAlignment="1">
      <alignment horizontal="center" vertical="center" wrapText="1"/>
    </xf>
    <xf numFmtId="0" fontId="0" fillId="5" borderId="0" xfId="0" applyFill="1" applyAlignment="1">
      <alignment horizontal="left" wrapText="1"/>
    </xf>
    <xf numFmtId="0" fontId="16" fillId="5" borderId="0" xfId="0" applyFont="1" applyFill="1"/>
    <xf numFmtId="0" fontId="7" fillId="8" borderId="68" xfId="0" applyFont="1" applyFill="1" applyBorder="1" applyAlignment="1">
      <alignment vertical="center"/>
    </xf>
    <xf numFmtId="0" fontId="7" fillId="8" borderId="59" xfId="0" applyFont="1" applyFill="1" applyBorder="1" applyAlignment="1">
      <alignment vertical="center"/>
    </xf>
    <xf numFmtId="0" fontId="14" fillId="4" borderId="62" xfId="0" applyFont="1" applyFill="1" applyBorder="1" applyAlignment="1">
      <alignment vertical="center"/>
    </xf>
    <xf numFmtId="0" fontId="13" fillId="4" borderId="63" xfId="0" applyFont="1" applyFill="1" applyBorder="1" applyAlignment="1">
      <alignment vertical="center"/>
    </xf>
    <xf numFmtId="0" fontId="8" fillId="4" borderId="63" xfId="0" applyFont="1" applyFill="1" applyBorder="1" applyAlignment="1">
      <alignment vertical="center"/>
    </xf>
    <xf numFmtId="0" fontId="0" fillId="4" borderId="63" xfId="0" applyFill="1" applyBorder="1"/>
    <xf numFmtId="0" fontId="0" fillId="4" borderId="64" xfId="0" applyFill="1" applyBorder="1"/>
    <xf numFmtId="0" fontId="7" fillId="6" borderId="57" xfId="0" applyFont="1" applyFill="1" applyBorder="1" applyAlignment="1">
      <alignment horizontal="center" vertical="center"/>
    </xf>
    <xf numFmtId="0" fontId="0" fillId="5" borderId="1" xfId="0" applyFill="1" applyBorder="1" applyAlignment="1">
      <alignment horizontal="center" vertical="center"/>
    </xf>
    <xf numFmtId="0" fontId="0" fillId="5" borderId="66" xfId="0" applyFill="1" applyBorder="1" applyAlignment="1">
      <alignment horizontal="center" vertical="center"/>
    </xf>
    <xf numFmtId="0" fontId="0" fillId="5" borderId="0" xfId="0" applyFill="1" applyAlignment="1">
      <alignment horizontal="center" vertical="center"/>
    </xf>
    <xf numFmtId="0" fontId="0" fillId="8" borderId="69" xfId="0" applyFill="1" applyBorder="1"/>
    <xf numFmtId="0" fontId="0" fillId="8" borderId="57" xfId="0" applyFill="1" applyBorder="1"/>
    <xf numFmtId="0" fontId="0" fillId="8" borderId="56" xfId="0" applyFill="1" applyBorder="1" applyAlignment="1">
      <alignment wrapText="1"/>
    </xf>
    <xf numFmtId="0" fontId="0" fillId="8" borderId="66" xfId="0" applyFill="1" applyBorder="1"/>
    <xf numFmtId="0" fontId="8" fillId="8" borderId="59" xfId="0" applyFont="1" applyFill="1" applyBorder="1" applyAlignment="1">
      <alignment vertical="center"/>
    </xf>
    <xf numFmtId="0" fontId="3" fillId="4" borderId="59" xfId="0" applyFont="1" applyFill="1" applyBorder="1" applyAlignment="1">
      <alignment vertical="center"/>
    </xf>
    <xf numFmtId="0" fontId="0" fillId="8" borderId="0" xfId="0" applyFill="1" applyAlignment="1">
      <alignment wrapText="1"/>
    </xf>
    <xf numFmtId="0" fontId="0" fillId="2" borderId="6" xfId="0" applyFill="1" applyBorder="1" applyAlignment="1" applyProtection="1">
      <alignment horizontal="center" vertical="center"/>
      <protection locked="0"/>
    </xf>
    <xf numFmtId="0" fontId="0" fillId="2" borderId="6" xfId="2" applyNumberFormat="1" applyFont="1" applyFill="1" applyBorder="1" applyAlignment="1" applyProtection="1">
      <alignment horizontal="center" vertical="center"/>
      <protection locked="0"/>
    </xf>
    <xf numFmtId="0" fontId="9" fillId="4" borderId="62" xfId="0" applyFont="1" applyFill="1" applyBorder="1" applyAlignment="1">
      <alignment horizontal="center" vertical="center"/>
    </xf>
    <xf numFmtId="0" fontId="9" fillId="4" borderId="69" xfId="0" applyFont="1" applyFill="1" applyBorder="1" applyAlignment="1">
      <alignment horizontal="center" vertical="center"/>
    </xf>
    <xf numFmtId="0" fontId="7" fillId="3" borderId="65" xfId="0" applyFont="1" applyFill="1" applyBorder="1" applyAlignment="1">
      <alignment horizontal="right"/>
    </xf>
    <xf numFmtId="0" fontId="7" fillId="3" borderId="62" xfId="0" applyFont="1" applyFill="1" applyBorder="1" applyAlignment="1">
      <alignment horizontal="right"/>
    </xf>
    <xf numFmtId="0" fontId="7" fillId="3" borderId="62" xfId="0" applyFont="1" applyFill="1" applyBorder="1" applyAlignment="1">
      <alignment horizontal="right" wrapText="1"/>
    </xf>
    <xf numFmtId="0" fontId="9" fillId="5" borderId="67" xfId="0" applyFont="1" applyFill="1" applyBorder="1" applyAlignment="1">
      <alignment vertical="center"/>
    </xf>
    <xf numFmtId="0" fontId="5" fillId="5" borderId="0" xfId="0" applyFont="1" applyFill="1" applyAlignment="1">
      <alignment horizontal="left" vertical="center" indent="1"/>
    </xf>
    <xf numFmtId="0" fontId="15" fillId="5" borderId="56" xfId="0" applyFont="1" applyFill="1" applyBorder="1"/>
    <xf numFmtId="0" fontId="7" fillId="5" borderId="56" xfId="0" applyFont="1" applyFill="1" applyBorder="1"/>
    <xf numFmtId="0" fontId="0" fillId="5" borderId="0" xfId="0" applyFill="1" applyAlignment="1">
      <alignment horizontal="right" vertical="top"/>
    </xf>
    <xf numFmtId="0" fontId="0" fillId="5" borderId="0" xfId="0" applyFill="1" applyAlignment="1">
      <alignment horizontal="right" vertical="top" wrapText="1"/>
    </xf>
    <xf numFmtId="0" fontId="7" fillId="5" borderId="1" xfId="0" applyFont="1" applyFill="1" applyBorder="1" applyAlignment="1">
      <alignment horizontal="center" wrapText="1"/>
    </xf>
    <xf numFmtId="0" fontId="0" fillId="5" borderId="1" xfId="0" applyFill="1" applyBorder="1" applyAlignment="1">
      <alignment horizontal="center"/>
    </xf>
    <xf numFmtId="0" fontId="0" fillId="2" borderId="1" xfId="0" applyFill="1" applyBorder="1" applyProtection="1">
      <protection locked="0"/>
    </xf>
    <xf numFmtId="0" fontId="0" fillId="5" borderId="8" xfId="0" applyFill="1" applyBorder="1"/>
    <xf numFmtId="0" fontId="0" fillId="0" borderId="8" xfId="0" applyBorder="1"/>
    <xf numFmtId="2" fontId="0" fillId="5" borderId="8" xfId="0" applyNumberFormat="1" applyFill="1" applyBorder="1"/>
    <xf numFmtId="0" fontId="3" fillId="4" borderId="6" xfId="0" applyFont="1" applyFill="1" applyBorder="1" applyAlignment="1">
      <alignment horizontal="center" vertical="center"/>
    </xf>
    <xf numFmtId="0" fontId="7" fillId="7" borderId="6" xfId="0" applyFont="1" applyFill="1" applyBorder="1" applyAlignment="1">
      <alignment horizontal="center" vertical="center"/>
    </xf>
    <xf numFmtId="2" fontId="2" fillId="7" borderId="6" xfId="0" applyNumberFormat="1" applyFont="1" applyFill="1" applyBorder="1" applyAlignment="1">
      <alignment horizontal="center" vertical="center"/>
    </xf>
    <xf numFmtId="0" fontId="9" fillId="4" borderId="9" xfId="0" applyFont="1" applyFill="1" applyBorder="1" applyAlignment="1">
      <alignment horizontal="left" vertical="center"/>
    </xf>
    <xf numFmtId="0" fontId="9" fillId="4" borderId="6" xfId="0" applyFont="1" applyFill="1" applyBorder="1" applyAlignment="1">
      <alignment horizontal="left" vertical="center"/>
    </xf>
    <xf numFmtId="2" fontId="4" fillId="3" borderId="6" xfId="0" applyNumberFormat="1" applyFont="1" applyFill="1" applyBorder="1" applyAlignment="1">
      <alignment vertical="center"/>
    </xf>
    <xf numFmtId="0" fontId="2" fillId="3" borderId="6" xfId="0" applyFont="1" applyFill="1" applyBorder="1" applyAlignment="1">
      <alignment vertical="center"/>
    </xf>
    <xf numFmtId="0" fontId="0" fillId="8" borderId="0" xfId="0" applyFill="1" applyAlignment="1">
      <alignment horizontal="left" wrapText="1"/>
    </xf>
    <xf numFmtId="0" fontId="0" fillId="8" borderId="0" xfId="0" applyFill="1" applyAlignment="1">
      <alignment vertical="center"/>
    </xf>
    <xf numFmtId="2" fontId="4" fillId="8" borderId="0" xfId="0" applyNumberFormat="1" applyFont="1" applyFill="1" applyAlignment="1">
      <alignment vertical="center"/>
    </xf>
    <xf numFmtId="0" fontId="2" fillId="8" borderId="0" xfId="0" applyFont="1" applyFill="1" applyAlignment="1">
      <alignment vertical="center"/>
    </xf>
    <xf numFmtId="0" fontId="0" fillId="8" borderId="59" xfId="0" applyFill="1" applyBorder="1" applyAlignment="1" applyProtection="1">
      <alignment horizontal="center" vertical="center"/>
      <protection locked="0"/>
    </xf>
    <xf numFmtId="0" fontId="0" fillId="8" borderId="0" xfId="0" applyFill="1" applyProtection="1">
      <protection locked="0"/>
    </xf>
    <xf numFmtId="0" fontId="0" fillId="8" borderId="0" xfId="0" applyFill="1" applyAlignment="1" applyProtection="1">
      <alignment horizontal="center" vertical="center"/>
      <protection locked="0"/>
    </xf>
    <xf numFmtId="0" fontId="0" fillId="8" borderId="0" xfId="0" applyFill="1" applyAlignment="1" applyProtection="1">
      <alignment vertical="center"/>
      <protection locked="0"/>
    </xf>
    <xf numFmtId="0" fontId="2" fillId="8" borderId="0" xfId="0" applyFont="1" applyFill="1" applyAlignment="1" applyProtection="1">
      <alignment horizontal="center" vertical="center"/>
      <protection locked="0"/>
    </xf>
    <xf numFmtId="0" fontId="0" fillId="5" borderId="0" xfId="0" applyFill="1" applyAlignment="1" applyProtection="1">
      <alignment horizontal="center"/>
      <protection locked="0"/>
    </xf>
    <xf numFmtId="0" fontId="0" fillId="8" borderId="0" xfId="0" applyFill="1" applyAlignment="1" applyProtection="1">
      <alignment horizontal="center" vertical="center" wrapText="1"/>
      <protection locked="0"/>
    </xf>
    <xf numFmtId="0" fontId="9" fillId="4" borderId="6" xfId="0" applyFont="1" applyFill="1" applyBorder="1" applyAlignment="1">
      <alignment horizontal="center" vertical="center" wrapText="1"/>
    </xf>
    <xf numFmtId="0" fontId="0" fillId="2" borderId="6" xfId="0" applyFill="1" applyBorder="1" applyAlignment="1" applyProtection="1">
      <alignment horizontal="left"/>
      <protection locked="0"/>
    </xf>
    <xf numFmtId="0" fontId="0" fillId="2" borderId="6"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5" borderId="56" xfId="0" applyFont="1" applyFill="1" applyBorder="1"/>
    <xf numFmtId="0" fontId="8" fillId="4"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0" fillId="0" borderId="6" xfId="0" applyBorder="1" applyAlignment="1">
      <alignment horizontal="center" vertical="center"/>
    </xf>
    <xf numFmtId="2" fontId="4" fillId="3" borderId="9" xfId="0" applyNumberFormat="1" applyFont="1" applyFill="1" applyBorder="1" applyAlignment="1">
      <alignment horizontal="center" vertical="center"/>
    </xf>
    <xf numFmtId="0" fontId="0" fillId="5" borderId="0" xfId="0" applyFill="1" applyAlignment="1">
      <alignment horizontal="left" vertical="center"/>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6" xfId="0" applyFont="1" applyFill="1" applyBorder="1"/>
    <xf numFmtId="2" fontId="0" fillId="3" borderId="9" xfId="0" applyNumberFormat="1" applyFill="1" applyBorder="1" applyAlignment="1">
      <alignment horizontal="center" vertical="center"/>
    </xf>
    <xf numFmtId="0" fontId="7" fillId="0" borderId="0" xfId="0" applyFont="1" applyAlignment="1">
      <alignment horizontal="center" vertical="center" wrapText="1"/>
    </xf>
    <xf numFmtId="0" fontId="9" fillId="5" borderId="0" xfId="0" applyFont="1" applyFill="1" applyAlignment="1">
      <alignment horizontal="center" vertical="center"/>
    </xf>
    <xf numFmtId="0" fontId="7" fillId="9" borderId="1" xfId="0" applyFont="1" applyFill="1" applyBorder="1" applyAlignment="1">
      <alignment horizontal="center" vertical="center"/>
    </xf>
    <xf numFmtId="2" fontId="0" fillId="2" borderId="6"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2" fontId="6" fillId="3" borderId="7" xfId="0" applyNumberFormat="1" applyFont="1" applyFill="1" applyBorder="1" applyAlignment="1">
      <alignment horizontal="right"/>
    </xf>
    <xf numFmtId="165" fontId="0" fillId="2" borderId="6" xfId="0" applyNumberFormat="1" applyFill="1" applyBorder="1" applyProtection="1">
      <protection locked="0"/>
    </xf>
    <xf numFmtId="165" fontId="0" fillId="7" borderId="6" xfId="0" applyNumberFormat="1" applyFill="1" applyBorder="1"/>
    <xf numFmtId="0" fontId="0" fillId="7" borderId="6" xfId="0" applyFill="1" applyBorder="1" applyAlignment="1">
      <alignment horizontal="left" vertical="center" wrapText="1"/>
    </xf>
    <xf numFmtId="0" fontId="0" fillId="8" borderId="56" xfId="0" applyFill="1" applyBorder="1" applyProtection="1">
      <protection locked="0"/>
    </xf>
    <xf numFmtId="0" fontId="0" fillId="5" borderId="0" xfId="0" applyFill="1" applyAlignment="1">
      <alignment horizontal="right"/>
    </xf>
    <xf numFmtId="0" fontId="0" fillId="13" borderId="2" xfId="0" applyFill="1" applyBorder="1" applyAlignment="1" applyProtection="1">
      <alignment horizontal="center" vertical="center"/>
      <protection locked="0"/>
    </xf>
    <xf numFmtId="0" fontId="7" fillId="3" borderId="68" xfId="0" applyFont="1" applyFill="1" applyBorder="1" applyAlignment="1">
      <alignment horizontal="right" wrapText="1"/>
    </xf>
    <xf numFmtId="0" fontId="7" fillId="3" borderId="1" xfId="0" applyFont="1" applyFill="1" applyBorder="1" applyAlignment="1">
      <alignment horizontal="center" vertical="center"/>
    </xf>
    <xf numFmtId="0" fontId="0" fillId="13" borderId="87" xfId="0" applyFill="1" applyBorder="1" applyAlignment="1" applyProtection="1">
      <alignment horizontal="center" vertical="center"/>
      <protection locked="0"/>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0" fillId="0" borderId="0" xfId="0" applyAlignment="1">
      <alignment horizontal="center" vertical="center"/>
    </xf>
    <xf numFmtId="0" fontId="0" fillId="12" borderId="0" xfId="0" applyFill="1" applyAlignment="1">
      <alignment horizontal="center" vertical="center"/>
    </xf>
    <xf numFmtId="0" fontId="0" fillId="12" borderId="0" xfId="0" applyFill="1" applyAlignment="1">
      <alignment vertical="center"/>
    </xf>
    <xf numFmtId="0" fontId="0" fillId="12" borderId="84" xfId="0" applyFill="1" applyBorder="1" applyAlignment="1">
      <alignment vertical="center"/>
    </xf>
    <xf numFmtId="0" fontId="0" fillId="12" borderId="2" xfId="0" applyFill="1" applyBorder="1" applyAlignment="1">
      <alignment vertical="center"/>
    </xf>
    <xf numFmtId="0" fontId="0" fillId="12" borderId="4" xfId="0" applyFill="1" applyBorder="1" applyAlignment="1">
      <alignment vertical="center"/>
    </xf>
    <xf numFmtId="0" fontId="1" fillId="12" borderId="0" xfId="0" applyFont="1" applyFill="1" applyAlignment="1">
      <alignment vertical="center"/>
    </xf>
    <xf numFmtId="0" fontId="1" fillId="12" borderId="0" xfId="0" applyFont="1" applyFill="1" applyAlignment="1">
      <alignment horizontal="left" vertical="center"/>
    </xf>
    <xf numFmtId="0" fontId="0" fillId="12" borderId="0" xfId="0" applyFill="1" applyAlignment="1">
      <alignment horizontal="right" vertical="center"/>
    </xf>
    <xf numFmtId="0" fontId="1" fillId="12" borderId="0" xfId="0" applyFont="1" applyFill="1" applyAlignment="1">
      <alignment horizontal="right" vertical="center"/>
    </xf>
    <xf numFmtId="0" fontId="0" fillId="12" borderId="0" xfId="0" applyFill="1" applyAlignment="1">
      <alignment horizontal="left" vertical="center"/>
    </xf>
    <xf numFmtId="0" fontId="17" fillId="12" borderId="0" xfId="0" applyFont="1" applyFill="1" applyAlignment="1">
      <alignment horizontal="center" vertical="center"/>
    </xf>
    <xf numFmtId="0" fontId="0" fillId="2" borderId="1" xfId="0" applyFill="1" applyBorder="1" applyAlignment="1" applyProtection="1">
      <alignment horizontal="center" vertical="center"/>
      <protection locked="0"/>
    </xf>
    <xf numFmtId="0" fontId="0" fillId="2" borderId="6" xfId="0" applyFill="1" applyBorder="1"/>
    <xf numFmtId="0" fontId="9" fillId="4" borderId="6" xfId="0" applyFont="1" applyFill="1" applyBorder="1" applyAlignment="1">
      <alignment vertical="center" wrapText="1"/>
    </xf>
    <xf numFmtId="0" fontId="18" fillId="4" borderId="6" xfId="0" applyFont="1" applyFill="1" applyBorder="1" applyAlignment="1">
      <alignment vertical="center" wrapText="1"/>
    </xf>
    <xf numFmtId="0" fontId="8" fillId="5" borderId="0" xfId="0" applyFont="1" applyFill="1"/>
    <xf numFmtId="0" fontId="2" fillId="5" borderId="56" xfId="0" applyFont="1" applyFill="1" applyBorder="1" applyAlignment="1">
      <alignment wrapText="1"/>
    </xf>
    <xf numFmtId="0" fontId="0" fillId="0" borderId="6" xfId="0" applyBorder="1" applyAlignment="1">
      <alignment wrapText="1"/>
    </xf>
    <xf numFmtId="0" fontId="0" fillId="5" borderId="6" xfId="0" applyFill="1" applyBorder="1" applyAlignment="1" applyProtection="1">
      <alignment wrapText="1"/>
      <protection locked="0"/>
    </xf>
    <xf numFmtId="0" fontId="0" fillId="2" borderId="6" xfId="0" applyFill="1" applyBorder="1" applyAlignment="1">
      <alignment horizontal="center" vertical="center"/>
    </xf>
    <xf numFmtId="2" fontId="0" fillId="2" borderId="6" xfId="0" applyNumberFormat="1" applyFill="1" applyBorder="1"/>
    <xf numFmtId="0" fontId="7" fillId="5" borderId="0" xfId="0" applyFont="1" applyFill="1" applyAlignment="1">
      <alignment horizontal="center" vertical="center"/>
    </xf>
    <xf numFmtId="0" fontId="14" fillId="8" borderId="0" xfId="0" applyFont="1" applyFill="1" applyAlignment="1">
      <alignment vertical="center"/>
    </xf>
    <xf numFmtId="0" fontId="13" fillId="8" borderId="0" xfId="0" applyFont="1" applyFill="1" applyAlignment="1">
      <alignment vertical="center"/>
    </xf>
    <xf numFmtId="0" fontId="7" fillId="8" borderId="0" xfId="0" applyFont="1" applyFill="1" applyAlignment="1">
      <alignment horizontal="right" vertical="center" wrapText="1"/>
    </xf>
    <xf numFmtId="0" fontId="8" fillId="4" borderId="6" xfId="0" applyFont="1" applyFill="1" applyBorder="1" applyAlignment="1">
      <alignment horizontal="left" vertical="center" wrapText="1"/>
    </xf>
    <xf numFmtId="0" fontId="2" fillId="5" borderId="0" xfId="0" applyFont="1" applyFill="1"/>
    <xf numFmtId="2" fontId="7" fillId="7" borderId="6" xfId="0" applyNumberFormat="1" applyFont="1" applyFill="1" applyBorder="1" applyAlignment="1">
      <alignment horizontal="center"/>
    </xf>
    <xf numFmtId="165" fontId="0" fillId="7" borderId="6" xfId="0" applyNumberFormat="1" applyFill="1" applyBorder="1" applyAlignment="1">
      <alignment horizontal="center"/>
    </xf>
    <xf numFmtId="165" fontId="0" fillId="7" borderId="6" xfId="0" applyNumberFormat="1" applyFill="1" applyBorder="1" applyAlignment="1">
      <alignment horizontal="center" vertical="center"/>
    </xf>
    <xf numFmtId="165" fontId="0" fillId="5" borderId="6" xfId="0" applyNumberFormat="1" applyFill="1" applyBorder="1" applyAlignment="1">
      <alignment horizontal="center" vertical="center"/>
    </xf>
    <xf numFmtId="0" fontId="0" fillId="5" borderId="6" xfId="0" applyFill="1" applyBorder="1" applyAlignment="1" applyProtection="1">
      <alignment horizontal="center" vertical="center"/>
      <protection locked="0"/>
    </xf>
    <xf numFmtId="0" fontId="0" fillId="5" borderId="6" xfId="0" applyFill="1" applyBorder="1" applyAlignment="1">
      <alignment horizontal="center" vertical="center"/>
    </xf>
    <xf numFmtId="9" fontId="1" fillId="7" borderId="6" xfId="2" applyFont="1" applyFill="1" applyBorder="1" applyAlignment="1" applyProtection="1">
      <alignment horizontal="center" vertical="center"/>
    </xf>
    <xf numFmtId="0" fontId="0" fillId="5" borderId="0" xfId="0" applyFill="1" applyAlignment="1">
      <alignment vertical="center" wrapText="1"/>
    </xf>
    <xf numFmtId="0" fontId="0" fillId="7" borderId="8" xfId="0" applyFill="1" applyBorder="1" applyAlignment="1">
      <alignment horizontal="left" vertical="center" wrapText="1"/>
    </xf>
    <xf numFmtId="0" fontId="0" fillId="0" borderId="0" xfId="0" applyAlignment="1">
      <alignment vertical="center"/>
    </xf>
    <xf numFmtId="0" fontId="7" fillId="3" borderId="1" xfId="0" applyFont="1" applyFill="1" applyBorder="1" applyAlignment="1">
      <alignment horizontal="right"/>
    </xf>
    <xf numFmtId="0" fontId="0" fillId="2" borderId="1" xfId="0" applyFill="1" applyBorder="1" applyAlignment="1">
      <alignment horizontal="center" vertical="center"/>
    </xf>
    <xf numFmtId="1" fontId="4" fillId="3" borderId="9" xfId="0" applyNumberFormat="1" applyFont="1" applyFill="1" applyBorder="1" applyAlignment="1">
      <alignment horizontal="center" vertical="center"/>
    </xf>
    <xf numFmtId="0" fontId="8" fillId="4" borderId="46" xfId="0" applyFont="1" applyFill="1" applyBorder="1" applyAlignment="1">
      <alignment horizontal="left" vertical="center" wrapText="1"/>
    </xf>
    <xf numFmtId="166" fontId="0" fillId="5" borderId="0" xfId="0" applyNumberFormat="1" applyFill="1"/>
    <xf numFmtId="166" fontId="2" fillId="5" borderId="56" xfId="0" applyNumberFormat="1" applyFont="1" applyFill="1" applyBorder="1"/>
    <xf numFmtId="166" fontId="9" fillId="4" borderId="6" xfId="0" applyNumberFormat="1" applyFont="1" applyFill="1" applyBorder="1" applyAlignment="1">
      <alignment horizontal="center" vertical="center" wrapText="1"/>
    </xf>
    <xf numFmtId="166" fontId="8" fillId="4" borderId="6" xfId="0" applyNumberFormat="1" applyFont="1" applyFill="1" applyBorder="1" applyAlignment="1">
      <alignment horizontal="center" vertical="center" wrapText="1"/>
    </xf>
    <xf numFmtId="166" fontId="0" fillId="2" borderId="6" xfId="0" applyNumberFormat="1" applyFill="1" applyBorder="1" applyAlignment="1" applyProtection="1">
      <alignment horizontal="center" vertical="center"/>
      <protection locked="0"/>
    </xf>
    <xf numFmtId="166" fontId="0" fillId="2" borderId="6" xfId="0" applyNumberFormat="1" applyFill="1" applyBorder="1" applyAlignment="1">
      <alignment horizontal="center" vertical="center"/>
    </xf>
    <xf numFmtId="166" fontId="6" fillId="3" borderId="7" xfId="0" applyNumberFormat="1" applyFont="1" applyFill="1" applyBorder="1" applyAlignment="1">
      <alignment horizontal="right"/>
    </xf>
    <xf numFmtId="0" fontId="7" fillId="5" borderId="1" xfId="0" applyFont="1" applyFill="1" applyBorder="1" applyAlignment="1">
      <alignment horizontal="center"/>
    </xf>
    <xf numFmtId="0" fontId="0" fillId="5" borderId="1" xfId="0" applyFill="1" applyBorder="1"/>
    <xf numFmtId="0" fontId="5" fillId="0" borderId="0" xfId="0" applyFont="1" applyAlignment="1">
      <alignment horizontal="left" vertical="center" indent="1"/>
    </xf>
    <xf numFmtId="0" fontId="7" fillId="0" borderId="0" xfId="0" applyFont="1" applyAlignment="1">
      <alignment horizontal="left" vertical="center" inden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7" fillId="0" borderId="5"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vertical="top" textRotation="90" wrapText="1"/>
    </xf>
    <xf numFmtId="0" fontId="0" fillId="0" borderId="2" xfId="0" applyBorder="1" applyAlignment="1">
      <alignment horizontal="left" vertical="center" textRotation="90" wrapText="1"/>
    </xf>
    <xf numFmtId="0" fontId="0" fillId="0" borderId="4" xfId="0" applyBorder="1" applyAlignment="1">
      <alignment horizontal="left" vertical="center" textRotation="90" wrapText="1"/>
    </xf>
    <xf numFmtId="0" fontId="0" fillId="0" borderId="2" xfId="0" applyBorder="1" applyAlignment="1">
      <alignment vertical="top" textRotation="90" wrapText="1"/>
    </xf>
    <xf numFmtId="0" fontId="0" fillId="0" borderId="31" xfId="0" applyBorder="1" applyAlignment="1">
      <alignment horizontal="right" vertical="center" wrapText="1"/>
    </xf>
    <xf numFmtId="0" fontId="0" fillId="0" borderId="37" xfId="0" applyBorder="1" applyAlignment="1">
      <alignment horizontal="right" vertical="center" wrapText="1"/>
    </xf>
    <xf numFmtId="0" fontId="0" fillId="0" borderId="40" xfId="0" applyBorder="1" applyAlignment="1">
      <alignment horizontal="left" vertical="center" wrapText="1"/>
    </xf>
    <xf numFmtId="0" fontId="0" fillId="0" borderId="23" xfId="0" applyBorder="1" applyAlignment="1">
      <alignment horizontal="right" vertical="center" wrapText="1"/>
    </xf>
    <xf numFmtId="0" fontId="0" fillId="0" borderId="24" xfId="0" applyBorder="1" applyAlignment="1">
      <alignment horizontal="right" vertical="center" wrapText="1"/>
    </xf>
    <xf numFmtId="0" fontId="0" fillId="0" borderId="25" xfId="0" applyBorder="1" applyAlignment="1">
      <alignment horizontal="right" vertical="center" wrapText="1"/>
    </xf>
    <xf numFmtId="0" fontId="0" fillId="0" borderId="34" xfId="0" applyBorder="1" applyAlignment="1">
      <alignment horizontal="right" vertical="center" wrapText="1"/>
    </xf>
    <xf numFmtId="0" fontId="0" fillId="0" borderId="45" xfId="0" applyBorder="1" applyAlignment="1">
      <alignment horizontal="right" vertical="center" wrapText="1"/>
    </xf>
    <xf numFmtId="0" fontId="0" fillId="0" borderId="32" xfId="0" applyBorder="1" applyAlignment="1">
      <alignment horizontal="right" vertical="center" wrapText="1"/>
    </xf>
    <xf numFmtId="0" fontId="0" fillId="0" borderId="38" xfId="0" applyBorder="1" applyAlignment="1">
      <alignment horizontal="right" vertical="center" wrapText="1"/>
    </xf>
    <xf numFmtId="0" fontId="0" fillId="0" borderId="41" xfId="0" applyBorder="1" applyAlignment="1">
      <alignment horizontal="left" vertical="center" wrapText="1"/>
    </xf>
    <xf numFmtId="0" fontId="0" fillId="0" borderId="26" xfId="0" applyBorder="1" applyAlignment="1">
      <alignment horizontal="right" vertical="center" wrapText="1"/>
    </xf>
    <xf numFmtId="0" fontId="0" fillId="0" borderId="6" xfId="0" applyBorder="1" applyAlignment="1">
      <alignment horizontal="right" vertical="center" wrapText="1"/>
    </xf>
    <xf numFmtId="0" fontId="0" fillId="0" borderId="27" xfId="0" applyBorder="1" applyAlignment="1">
      <alignment horizontal="right" vertical="center" wrapText="1"/>
    </xf>
    <xf numFmtId="0" fontId="0" fillId="0" borderId="35" xfId="0" applyBorder="1" applyAlignment="1">
      <alignment horizontal="right" vertical="center" wrapText="1"/>
    </xf>
    <xf numFmtId="0" fontId="0" fillId="0" borderId="46" xfId="0" applyBorder="1" applyAlignment="1">
      <alignment horizontal="right" vertical="center" wrapText="1"/>
    </xf>
    <xf numFmtId="0" fontId="0" fillId="0" borderId="35" xfId="0" applyBorder="1" applyAlignment="1">
      <alignment horizontal="left" vertical="center" wrapText="1"/>
    </xf>
    <xf numFmtId="0" fontId="0" fillId="0" borderId="6" xfId="0" applyBorder="1" applyAlignment="1">
      <alignment horizontal="left" vertical="center" wrapText="1"/>
    </xf>
    <xf numFmtId="0" fontId="0" fillId="0" borderId="32" xfId="0" applyBorder="1" applyAlignment="1">
      <alignment vertical="center" wrapText="1"/>
    </xf>
    <xf numFmtId="0" fontId="0" fillId="0" borderId="41" xfId="0" applyBorder="1" applyAlignment="1">
      <alignment vertical="center" wrapText="1"/>
    </xf>
    <xf numFmtId="0" fontId="0" fillId="0" borderId="33" xfId="0" applyBorder="1" applyAlignment="1">
      <alignment horizontal="right" vertical="center" wrapText="1"/>
    </xf>
    <xf numFmtId="0" fontId="0" fillId="0" borderId="39" xfId="0" applyBorder="1" applyAlignment="1">
      <alignment horizontal="right" vertical="center" wrapText="1"/>
    </xf>
    <xf numFmtId="0" fontId="0" fillId="0" borderId="42" xfId="0" applyBorder="1" applyAlignment="1">
      <alignment horizontal="left" vertical="center" wrapText="1"/>
    </xf>
    <xf numFmtId="0" fontId="0" fillId="0" borderId="28" xfId="0" applyBorder="1" applyAlignment="1">
      <alignment horizontal="right" vertical="center" wrapText="1"/>
    </xf>
    <xf numFmtId="0" fontId="0" fillId="0" borderId="29" xfId="0" applyBorder="1" applyAlignment="1">
      <alignment horizontal="right" vertical="center" wrapText="1"/>
    </xf>
    <xf numFmtId="0" fontId="0" fillId="0" borderId="30" xfId="0" applyBorder="1" applyAlignment="1">
      <alignment horizontal="right" vertical="center" wrapText="1"/>
    </xf>
    <xf numFmtId="0" fontId="0" fillId="0" borderId="36" xfId="0" applyBorder="1" applyAlignment="1">
      <alignment horizontal="right" vertical="center" wrapText="1"/>
    </xf>
    <xf numFmtId="0" fontId="0" fillId="0" borderId="47" xfId="0" applyBorder="1" applyAlignment="1">
      <alignment horizontal="right" vertical="center" wrapText="1"/>
    </xf>
    <xf numFmtId="0" fontId="0" fillId="0" borderId="26" xfId="0" applyBorder="1" applyAlignment="1">
      <alignment horizontal="left" vertical="center" wrapText="1"/>
    </xf>
    <xf numFmtId="11" fontId="0" fillId="0" borderId="27" xfId="0" applyNumberFormat="1" applyBorder="1" applyAlignment="1">
      <alignment horizontal="right" vertical="center" wrapText="1"/>
    </xf>
    <xf numFmtId="0" fontId="0" fillId="0" borderId="88" xfId="0" applyBorder="1" applyAlignment="1">
      <alignment horizontal="right" vertical="center" wrapText="1"/>
    </xf>
    <xf numFmtId="0" fontId="0" fillId="0" borderId="89" xfId="0" applyBorder="1" applyAlignment="1">
      <alignment horizontal="right" vertical="center" wrapText="1"/>
    </xf>
    <xf numFmtId="0" fontId="0" fillId="0" borderId="73" xfId="0" applyBorder="1" applyAlignment="1">
      <alignment horizontal="left" vertical="center" wrapText="1"/>
    </xf>
    <xf numFmtId="0" fontId="0" fillId="0" borderId="90" xfId="0" applyBorder="1" applyAlignment="1">
      <alignment horizontal="right" vertical="center" wrapText="1"/>
    </xf>
    <xf numFmtId="0" fontId="0" fillId="0" borderId="8" xfId="0" applyBorder="1" applyAlignment="1">
      <alignment horizontal="right" vertical="center" wrapText="1"/>
    </xf>
    <xf numFmtId="0" fontId="0" fillId="0" borderId="91" xfId="0" applyBorder="1" applyAlignment="1">
      <alignment horizontal="right" vertical="center" wrapText="1"/>
    </xf>
    <xf numFmtId="0" fontId="0" fillId="0" borderId="74" xfId="0" applyBorder="1" applyAlignment="1">
      <alignment horizontal="left" vertical="center" wrapText="1"/>
    </xf>
    <xf numFmtId="0" fontId="0" fillId="0" borderId="8" xfId="0" applyBorder="1" applyAlignment="1">
      <alignment horizontal="left" vertical="center" wrapText="1"/>
    </xf>
    <xf numFmtId="0" fontId="0" fillId="0" borderId="72" xfId="0" applyBorder="1" applyAlignment="1">
      <alignment horizontal="right" vertical="center" wrapText="1"/>
    </xf>
    <xf numFmtId="0" fontId="0" fillId="0" borderId="36" xfId="0"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91" xfId="0" applyBorder="1" applyAlignment="1">
      <alignment horizontal="center" vertical="center" wrapText="1"/>
    </xf>
    <xf numFmtId="0" fontId="0" fillId="0" borderId="74" xfId="0" applyBorder="1" applyAlignment="1">
      <alignment horizontal="right" vertical="center" wrapText="1"/>
    </xf>
    <xf numFmtId="0" fontId="0" fillId="0" borderId="30" xfId="0" applyBorder="1" applyAlignment="1">
      <alignment horizontal="center"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167" fontId="0" fillId="0" borderId="27" xfId="0" applyNumberFormat="1" applyBorder="1" applyAlignment="1">
      <alignment horizontal="right" vertical="center" wrapText="1"/>
    </xf>
    <xf numFmtId="167" fontId="0" fillId="0" borderId="46" xfId="0" applyNumberFormat="1" applyBorder="1" applyAlignment="1">
      <alignment horizontal="right" vertical="center" wrapText="1"/>
    </xf>
    <xf numFmtId="0" fontId="1" fillId="12" borderId="0" xfId="0" applyFont="1" applyFill="1" applyAlignment="1">
      <alignment horizontal="right" vertical="center"/>
    </xf>
    <xf numFmtId="0" fontId="0" fillId="12" borderId="0" xfId="0" applyFill="1" applyAlignment="1">
      <alignment horizontal="right" vertical="center"/>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0" fillId="2" borderId="62"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1" fillId="12" borderId="84" xfId="0" applyFont="1" applyFill="1" applyBorder="1" applyAlignment="1" applyProtection="1">
      <alignment horizontal="left" vertical="center"/>
      <protection locked="0"/>
    </xf>
    <xf numFmtId="0" fontId="1" fillId="12" borderId="2" xfId="0" applyFont="1" applyFill="1" applyBorder="1" applyAlignment="1" applyProtection="1">
      <alignment horizontal="left" vertical="center"/>
      <protection locked="0"/>
    </xf>
    <xf numFmtId="0" fontId="1" fillId="12" borderId="4" xfId="0" applyFont="1" applyFill="1" applyBorder="1" applyAlignment="1" applyProtection="1">
      <alignment horizontal="left" vertical="center"/>
      <protection locked="0"/>
    </xf>
    <xf numFmtId="0" fontId="0" fillId="13" borderId="78" xfId="0" applyFill="1" applyBorder="1" applyAlignment="1" applyProtection="1">
      <alignment horizontal="center" vertical="center"/>
      <protection locked="0"/>
    </xf>
    <xf numFmtId="0" fontId="0" fillId="13" borderId="79" xfId="0" applyFill="1" applyBorder="1" applyAlignment="1" applyProtection="1">
      <alignment horizontal="center" vertical="center"/>
      <protection locked="0"/>
    </xf>
    <xf numFmtId="0" fontId="0" fillId="13" borderId="80" xfId="0" applyFill="1" applyBorder="1" applyAlignment="1" applyProtection="1">
      <alignment horizontal="center" vertical="center"/>
      <protection locked="0"/>
    </xf>
    <xf numFmtId="0" fontId="0" fillId="13" borderId="85" xfId="0" applyFill="1" applyBorder="1" applyAlignment="1" applyProtection="1">
      <alignment horizontal="center" vertical="center"/>
      <protection locked="0"/>
    </xf>
    <xf numFmtId="0" fontId="0" fillId="13" borderId="0" xfId="0" applyFill="1" applyAlignment="1" applyProtection="1">
      <alignment horizontal="center" vertical="center"/>
      <protection locked="0"/>
    </xf>
    <xf numFmtId="0" fontId="0" fillId="13" borderId="86" xfId="0" applyFill="1" applyBorder="1" applyAlignment="1" applyProtection="1">
      <alignment horizontal="center" vertical="center"/>
      <protection locked="0"/>
    </xf>
    <xf numFmtId="0" fontId="0" fillId="13" borderId="81" xfId="0" applyFill="1" applyBorder="1" applyAlignment="1" applyProtection="1">
      <alignment horizontal="center" vertical="center"/>
      <protection locked="0"/>
    </xf>
    <xf numFmtId="0" fontId="0" fillId="13" borderId="82" xfId="0" applyFill="1" applyBorder="1" applyAlignment="1" applyProtection="1">
      <alignment horizontal="center" vertical="center"/>
      <protection locked="0"/>
    </xf>
    <xf numFmtId="0" fontId="0" fillId="13" borderId="83" xfId="0" applyFill="1" applyBorder="1" applyAlignment="1" applyProtection="1">
      <alignment horizontal="center" vertical="center"/>
      <protection locked="0"/>
    </xf>
    <xf numFmtId="0" fontId="0" fillId="13" borderId="3" xfId="0" applyFill="1" applyBorder="1" applyAlignment="1" applyProtection="1">
      <alignment horizontal="center" vertical="center" shrinkToFit="1"/>
      <protection locked="0"/>
    </xf>
    <xf numFmtId="0" fontId="0" fillId="13" borderId="2" xfId="0" applyFill="1" applyBorder="1" applyAlignment="1" applyProtection="1">
      <alignment horizontal="center" vertical="center" shrinkToFit="1"/>
      <protection locked="0"/>
    </xf>
    <xf numFmtId="0" fontId="0" fillId="13" borderId="4" xfId="0" applyFill="1" applyBorder="1" applyAlignment="1" applyProtection="1">
      <alignment horizontal="center" vertical="center" shrinkToFit="1"/>
      <protection locked="0"/>
    </xf>
    <xf numFmtId="0" fontId="1" fillId="12" borderId="3" xfId="0" applyFont="1" applyFill="1" applyBorder="1" applyAlignment="1" applyProtection="1">
      <alignment horizontal="left" vertical="center"/>
      <protection locked="0"/>
    </xf>
    <xf numFmtId="0" fontId="0" fillId="12" borderId="84" xfId="0" applyFill="1" applyBorder="1" applyAlignment="1" applyProtection="1">
      <alignment horizontal="left" vertical="center"/>
      <protection locked="0"/>
    </xf>
    <xf numFmtId="0" fontId="0" fillId="12" borderId="2" xfId="0" applyFill="1" applyBorder="1" applyAlignment="1" applyProtection="1">
      <alignment horizontal="left"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0" fontId="0" fillId="2" borderId="1" xfId="0" applyFill="1" applyBorder="1" applyAlignment="1">
      <alignment horizontal="center"/>
    </xf>
    <xf numFmtId="0" fontId="0" fillId="2" borderId="1" xfId="0" applyFill="1" applyBorder="1" applyAlignment="1">
      <alignment horizontal="center" wrapText="1"/>
    </xf>
    <xf numFmtId="0" fontId="7" fillId="3" borderId="1" xfId="0" applyFont="1" applyFill="1" applyBorder="1" applyAlignment="1">
      <alignment horizontal="center" vertical="center" wrapText="1"/>
    </xf>
    <xf numFmtId="0" fontId="7" fillId="3" borderId="64" xfId="0" applyFont="1" applyFill="1" applyBorder="1" applyAlignment="1">
      <alignment horizontal="right" vertical="center" wrapText="1"/>
    </xf>
    <xf numFmtId="0" fontId="0" fillId="2" borderId="68" xfId="0" applyFill="1" applyBorder="1" applyAlignment="1" applyProtection="1">
      <alignment horizontal="center" vertical="top"/>
      <protection locked="0"/>
    </xf>
    <xf numFmtId="0" fontId="0" fillId="2" borderId="69" xfId="0" applyFill="1" applyBorder="1" applyAlignment="1" applyProtection="1">
      <alignment horizontal="center" vertical="top"/>
      <protection locked="0"/>
    </xf>
    <xf numFmtId="0" fontId="0" fillId="2" borderId="67" xfId="0" applyFill="1" applyBorder="1" applyAlignment="1" applyProtection="1">
      <alignment horizontal="center" vertical="top"/>
      <protection locked="0"/>
    </xf>
    <xf numFmtId="0" fontId="0" fillId="2" borderId="57" xfId="0" applyFill="1" applyBorder="1" applyAlignment="1" applyProtection="1">
      <alignment horizontal="center" vertical="top"/>
      <protection locked="0"/>
    </xf>
    <xf numFmtId="0" fontId="0" fillId="2" borderId="65" xfId="0" applyFill="1" applyBorder="1" applyAlignment="1" applyProtection="1">
      <alignment horizontal="center" vertical="top"/>
      <protection locked="0"/>
    </xf>
    <xf numFmtId="0" fontId="0" fillId="2" borderId="66" xfId="0" applyFill="1" applyBorder="1" applyAlignment="1" applyProtection="1">
      <alignment horizontal="center" vertical="top"/>
      <protection locked="0"/>
    </xf>
    <xf numFmtId="0" fontId="0" fillId="10" borderId="72" xfId="0" applyFill="1" applyBorder="1" applyAlignment="1" applyProtection="1">
      <alignment horizontal="center"/>
      <protection locked="0"/>
    </xf>
    <xf numFmtId="0" fontId="0" fillId="10" borderId="73" xfId="0" applyFill="1" applyBorder="1" applyAlignment="1" applyProtection="1">
      <alignment horizontal="center"/>
      <protection locked="0"/>
    </xf>
    <xf numFmtId="0" fontId="0" fillId="10" borderId="74" xfId="0" applyFill="1" applyBorder="1" applyAlignment="1" applyProtection="1">
      <alignment horizontal="center"/>
      <protection locked="0"/>
    </xf>
    <xf numFmtId="0" fontId="0" fillId="10" borderId="70" xfId="0" applyFill="1" applyBorder="1" applyAlignment="1" applyProtection="1">
      <alignment horizontal="center"/>
      <protection locked="0"/>
    </xf>
    <xf numFmtId="0" fontId="0" fillId="10" borderId="0" xfId="0" applyFill="1" applyAlignment="1" applyProtection="1">
      <alignment horizontal="center"/>
      <protection locked="0"/>
    </xf>
    <xf numFmtId="0" fontId="0" fillId="10" borderId="71" xfId="0" applyFill="1" applyBorder="1" applyAlignment="1" applyProtection="1">
      <alignment horizontal="center"/>
      <protection locked="0"/>
    </xf>
    <xf numFmtId="0" fontId="0" fillId="10" borderId="75" xfId="0" applyFill="1" applyBorder="1" applyAlignment="1" applyProtection="1">
      <alignment horizontal="center"/>
      <protection locked="0"/>
    </xf>
    <xf numFmtId="0" fontId="0" fillId="10" borderId="76" xfId="0" applyFill="1" applyBorder="1" applyAlignment="1" applyProtection="1">
      <alignment horizontal="center"/>
      <protection locked="0"/>
    </xf>
    <xf numFmtId="0" fontId="0" fillId="10" borderId="77" xfId="0" applyFill="1" applyBorder="1" applyAlignment="1" applyProtection="1">
      <alignment horizontal="center"/>
      <protection locked="0"/>
    </xf>
    <xf numFmtId="0" fontId="9" fillId="4" borderId="6" xfId="0" applyFont="1" applyFill="1" applyBorder="1" applyAlignment="1">
      <alignment horizontal="center" vertical="center" wrapText="1"/>
    </xf>
    <xf numFmtId="0" fontId="9" fillId="4" borderId="62" xfId="0" applyFont="1" applyFill="1" applyBorder="1" applyAlignment="1">
      <alignment horizontal="left" vertical="center"/>
    </xf>
    <xf numFmtId="0" fontId="9" fillId="4" borderId="63" xfId="0" applyFont="1" applyFill="1" applyBorder="1" applyAlignment="1">
      <alignment horizontal="left" vertical="center"/>
    </xf>
    <xf numFmtId="0" fontId="9" fillId="4" borderId="64" xfId="0" applyFont="1" applyFill="1" applyBorder="1" applyAlignment="1">
      <alignment horizontal="left"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0" fillId="2" borderId="59" xfId="0" applyFill="1" applyBorder="1" applyAlignment="1">
      <alignment horizontal="center"/>
    </xf>
    <xf numFmtId="0" fontId="0" fillId="2" borderId="0" xfId="0" applyFill="1" applyAlignment="1">
      <alignment horizontal="center"/>
    </xf>
    <xf numFmtId="0" fontId="0" fillId="2" borderId="56" xfId="0" applyFill="1" applyBorder="1" applyAlignment="1">
      <alignment horizontal="center"/>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35" xfId="0" applyFont="1" applyFill="1" applyBorder="1" applyAlignment="1">
      <alignment horizontal="center" vertical="center" wrapText="1"/>
    </xf>
    <xf numFmtId="49" fontId="0" fillId="2" borderId="1" xfId="0" applyNumberFormat="1" applyFill="1" applyBorder="1" applyAlignment="1">
      <alignment horizontal="center"/>
    </xf>
    <xf numFmtId="0" fontId="8" fillId="4" borderId="6" xfId="0" applyFont="1" applyFill="1"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7" borderId="62" xfId="0" applyFill="1" applyBorder="1" applyAlignment="1">
      <alignment horizontal="left" vertical="center" wrapText="1"/>
    </xf>
    <xf numFmtId="0" fontId="0" fillId="7" borderId="63" xfId="0" applyFill="1" applyBorder="1" applyAlignment="1">
      <alignment horizontal="left" vertical="center" wrapText="1"/>
    </xf>
    <xf numFmtId="0" fontId="0" fillId="7" borderId="64" xfId="0" applyFill="1" applyBorder="1" applyAlignment="1">
      <alignment horizontal="left" vertical="center" wrapText="1"/>
    </xf>
    <xf numFmtId="0" fontId="8" fillId="4" borderId="46" xfId="0" applyFont="1" applyFill="1" applyBorder="1" applyAlignment="1">
      <alignment horizontal="left" vertical="center" wrapText="1"/>
    </xf>
    <xf numFmtId="0" fontId="8" fillId="4" borderId="41"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9" fillId="11" borderId="76" xfId="0" applyFont="1" applyFill="1" applyBorder="1" applyAlignment="1">
      <alignment horizontal="center"/>
    </xf>
    <xf numFmtId="0" fontId="7" fillId="3" borderId="1" xfId="0" applyFont="1" applyFill="1" applyBorder="1" applyAlignment="1">
      <alignment horizontal="right" vertical="center" wrapText="1"/>
    </xf>
    <xf numFmtId="0" fontId="0" fillId="2" borderId="1" xfId="0" applyFill="1" applyBorder="1" applyAlignment="1" applyProtection="1">
      <alignment horizontal="left" vertical="top"/>
      <protection locked="0"/>
    </xf>
    <xf numFmtId="0" fontId="8" fillId="4" borderId="6" xfId="0" applyFont="1" applyFill="1" applyBorder="1" applyAlignment="1">
      <alignment horizontal="left" vertical="center" wrapText="1"/>
    </xf>
    <xf numFmtId="0" fontId="9" fillId="4" borderId="6" xfId="0" applyFont="1" applyFill="1" applyBorder="1" applyAlignment="1">
      <alignment horizontal="center" vertical="center"/>
    </xf>
    <xf numFmtId="0" fontId="0" fillId="0" borderId="0" xfId="0" applyAlignment="1">
      <alignment horizontal="left" vertical="center" wrapText="1"/>
    </xf>
    <xf numFmtId="165" fontId="0" fillId="2" borderId="46" xfId="0" applyNumberFormat="1" applyFill="1" applyBorder="1" applyAlignment="1" applyProtection="1">
      <alignment horizontal="center"/>
      <protection locked="0"/>
    </xf>
    <xf numFmtId="165" fontId="0" fillId="2" borderId="35" xfId="0" applyNumberFormat="1" applyFill="1" applyBorder="1" applyAlignment="1" applyProtection="1">
      <alignment horizontal="center"/>
      <protection locked="0"/>
    </xf>
    <xf numFmtId="165" fontId="0" fillId="7" borderId="46" xfId="0" applyNumberFormat="1" applyFill="1" applyBorder="1" applyAlignment="1">
      <alignment horizontal="center"/>
    </xf>
    <xf numFmtId="165" fontId="0" fillId="7" borderId="35" xfId="0" applyNumberFormat="1" applyFill="1" applyBorder="1" applyAlignment="1">
      <alignment horizontal="center"/>
    </xf>
    <xf numFmtId="0" fontId="8" fillId="4" borderId="46"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9" fillId="4" borderId="46" xfId="0" applyFont="1" applyFill="1" applyBorder="1" applyAlignment="1">
      <alignment horizontal="left"/>
    </xf>
    <xf numFmtId="0" fontId="9" fillId="4" borderId="35" xfId="0" applyFont="1" applyFill="1" applyBorder="1" applyAlignment="1">
      <alignment horizontal="left"/>
    </xf>
    <xf numFmtId="0" fontId="9" fillId="4" borderId="46" xfId="0" applyFont="1" applyFill="1" applyBorder="1" applyAlignment="1">
      <alignment horizontal="left" wrapText="1"/>
    </xf>
    <xf numFmtId="0" fontId="9" fillId="4" borderId="35" xfId="0" applyFont="1" applyFill="1" applyBorder="1" applyAlignment="1">
      <alignment horizontal="left" wrapText="1"/>
    </xf>
    <xf numFmtId="0" fontId="0" fillId="5" borderId="0" xfId="0" applyFill="1" applyAlignment="1">
      <alignment horizontal="center" vertical="center" wrapText="1"/>
    </xf>
    <xf numFmtId="0" fontId="16" fillId="5" borderId="60" xfId="0" applyFont="1" applyFill="1" applyBorder="1" applyAlignment="1">
      <alignment horizontal="center" vertical="center"/>
    </xf>
    <xf numFmtId="0" fontId="16" fillId="5" borderId="61" xfId="0" applyFont="1" applyFill="1" applyBorder="1" applyAlignment="1">
      <alignment horizontal="center" vertical="center"/>
    </xf>
    <xf numFmtId="0" fontId="16" fillId="5" borderId="58" xfId="0" applyFont="1" applyFill="1" applyBorder="1" applyAlignment="1">
      <alignment horizontal="center" vertical="center"/>
    </xf>
    <xf numFmtId="0" fontId="16" fillId="5" borderId="0" xfId="0" applyFont="1" applyFill="1" applyAlignment="1">
      <alignment horizontal="center" vertical="center"/>
    </xf>
    <xf numFmtId="0" fontId="0" fillId="5" borderId="60" xfId="0" applyFill="1" applyBorder="1" applyAlignment="1">
      <alignment horizontal="center" vertical="center"/>
    </xf>
    <xf numFmtId="0" fontId="0" fillId="5" borderId="58" xfId="0" applyFill="1" applyBorder="1" applyAlignment="1">
      <alignment horizontal="center" vertical="center"/>
    </xf>
    <xf numFmtId="0" fontId="0" fillId="5" borderId="0" xfId="0" applyFill="1" applyAlignment="1">
      <alignment horizontal="center" vertical="center"/>
    </xf>
    <xf numFmtId="0" fontId="0" fillId="8" borderId="0" xfId="0" applyFill="1" applyAlignment="1">
      <alignment wrapText="1"/>
    </xf>
    <xf numFmtId="0" fontId="0" fillId="2" borderId="62" xfId="0" applyFill="1" applyBorder="1" applyProtection="1">
      <protection locked="0"/>
    </xf>
    <xf numFmtId="0" fontId="0" fillId="2" borderId="63" xfId="0" applyFill="1" applyBorder="1" applyProtection="1">
      <protection locked="0"/>
    </xf>
    <xf numFmtId="0" fontId="0" fillId="2" borderId="64" xfId="0" applyFill="1" applyBorder="1" applyProtection="1">
      <protection locked="0"/>
    </xf>
    <xf numFmtId="0" fontId="7" fillId="7" borderId="1" xfId="0" applyFont="1" applyFill="1" applyBorder="1" applyAlignment="1">
      <alignment horizontal="center" vertical="center"/>
    </xf>
    <xf numFmtId="0" fontId="0" fillId="8" borderId="59" xfId="0" applyFill="1" applyBorder="1" applyAlignment="1">
      <alignment wrapText="1"/>
    </xf>
    <xf numFmtId="0" fontId="0" fillId="7" borderId="62" xfId="0" applyFill="1" applyBorder="1" applyAlignment="1">
      <alignment vertical="center" wrapText="1"/>
    </xf>
    <xf numFmtId="0" fontId="0" fillId="7" borderId="64" xfId="0" applyFill="1" applyBorder="1" applyAlignment="1">
      <alignment vertical="center" wrapText="1"/>
    </xf>
    <xf numFmtId="0" fontId="0" fillId="8" borderId="0" xfId="0" applyFill="1" applyAlignment="1">
      <alignment horizontal="left" wrapText="1"/>
    </xf>
    <xf numFmtId="0" fontId="0" fillId="8" borderId="0" xfId="0" applyFill="1" applyAlignment="1">
      <alignment horizontal="left" vertical="top" wrapText="1"/>
    </xf>
    <xf numFmtId="0" fontId="16" fillId="5" borderId="1"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60" xfId="0" applyFill="1" applyBorder="1" applyAlignment="1">
      <alignment horizontal="center" vertical="center"/>
    </xf>
    <xf numFmtId="0" fontId="0" fillId="7" borderId="61" xfId="0" applyFill="1" applyBorder="1" applyAlignment="1">
      <alignment horizontal="center" vertical="center"/>
    </xf>
    <xf numFmtId="0" fontId="0" fillId="7" borderId="58" xfId="0"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8" xfId="0" applyFill="1" applyBorder="1" applyAlignment="1">
      <alignment horizontal="left" vertical="center"/>
    </xf>
    <xf numFmtId="0" fontId="0" fillId="5" borderId="0" xfId="0" applyFill="1" applyAlignment="1">
      <alignment wrapText="1"/>
    </xf>
    <xf numFmtId="0" fontId="0" fillId="5" borderId="57" xfId="0" applyFill="1" applyBorder="1" applyAlignment="1">
      <alignment wrapText="1"/>
    </xf>
    <xf numFmtId="0" fontId="0" fillId="5" borderId="0" xfId="0" applyFill="1" applyAlignment="1">
      <alignment horizontal="left" wrapText="1"/>
    </xf>
    <xf numFmtId="0" fontId="0" fillId="5" borderId="57" xfId="0" applyFill="1" applyBorder="1" applyAlignment="1">
      <alignment horizontal="left" wrapText="1"/>
    </xf>
    <xf numFmtId="0" fontId="0" fillId="5" borderId="0" xfId="0" applyFill="1" applyAlignment="1">
      <alignment vertical="top" wrapText="1"/>
    </xf>
    <xf numFmtId="0" fontId="0" fillId="5" borderId="57" xfId="0" applyFill="1" applyBorder="1" applyAlignment="1">
      <alignment vertical="top" wrapText="1"/>
    </xf>
    <xf numFmtId="0" fontId="0" fillId="5" borderId="61" xfId="0" applyFill="1" applyBorder="1" applyAlignment="1">
      <alignment horizontal="center" vertical="center"/>
    </xf>
    <xf numFmtId="0" fontId="0" fillId="5" borderId="0" xfId="0" applyFill="1" applyAlignment="1">
      <alignment horizontal="left" vertical="center" wrapText="1"/>
    </xf>
    <xf numFmtId="0" fontId="0" fillId="5" borderId="57" xfId="0" applyFill="1" applyBorder="1" applyAlignment="1">
      <alignment horizontal="left" vertical="center" wrapText="1"/>
    </xf>
    <xf numFmtId="0" fontId="0" fillId="5" borderId="56" xfId="0" applyFill="1" applyBorder="1" applyAlignment="1">
      <alignment horizontal="left" vertical="center" wrapText="1"/>
    </xf>
    <xf numFmtId="0" fontId="0" fillId="5" borderId="66" xfId="0" applyFill="1" applyBorder="1" applyAlignment="1">
      <alignment horizontal="left" vertical="center" wrapText="1"/>
    </xf>
    <xf numFmtId="0" fontId="0" fillId="5" borderId="0" xfId="0" applyFill="1" applyAlignment="1">
      <alignment horizontal="left" vertical="top" wrapText="1"/>
    </xf>
    <xf numFmtId="0" fontId="0" fillId="5" borderId="57" xfId="0" applyFill="1" applyBorder="1" applyAlignment="1">
      <alignment horizontal="left" vertical="top" wrapText="1"/>
    </xf>
    <xf numFmtId="0" fontId="15" fillId="5" borderId="1" xfId="0" applyFont="1" applyFill="1" applyBorder="1" applyAlignment="1">
      <alignment horizontal="center" vertical="center"/>
    </xf>
    <xf numFmtId="0" fontId="14" fillId="4" borderId="6" xfId="0" applyFont="1" applyFill="1" applyBorder="1" applyAlignment="1">
      <alignment vertical="center"/>
    </xf>
    <xf numFmtId="0" fontId="3" fillId="4" borderId="1"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0" xfId="0" applyFont="1" applyFill="1" applyBorder="1" applyAlignment="1">
      <alignment horizontal="center" vertical="center"/>
    </xf>
    <xf numFmtId="0" fontId="0" fillId="5" borderId="59" xfId="0" applyFill="1" applyBorder="1" applyAlignment="1">
      <alignment horizontal="left" vertical="top" wrapText="1"/>
    </xf>
    <xf numFmtId="0" fontId="0" fillId="5" borderId="69" xfId="0" applyFill="1" applyBorder="1" applyAlignment="1">
      <alignment horizontal="left" vertical="top" wrapText="1"/>
    </xf>
    <xf numFmtId="0" fontId="0" fillId="5" borderId="59" xfId="0" applyFill="1" applyBorder="1" applyAlignment="1">
      <alignment vertical="top" wrapText="1"/>
    </xf>
    <xf numFmtId="0" fontId="0" fillId="5" borderId="69" xfId="0" applyFill="1" applyBorder="1" applyAlignment="1">
      <alignment vertical="top" wrapText="1"/>
    </xf>
    <xf numFmtId="0" fontId="16" fillId="5" borderId="57"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64" xfId="0" applyFont="1" applyFill="1" applyBorder="1" applyAlignment="1">
      <alignment horizontal="center" vertical="center"/>
    </xf>
    <xf numFmtId="0" fontId="0" fillId="0" borderId="11" xfId="0" applyBorder="1" applyAlignment="1">
      <alignment horizontal="left" vertical="center" wrapText="1"/>
    </xf>
    <xf numFmtId="0" fontId="0" fillId="0" borderId="10" xfId="0" applyBorder="1" applyAlignment="1">
      <alignment horizontal="left"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53" xfId="0" applyFont="1" applyBorder="1" applyAlignment="1">
      <alignment horizontal="center" vertical="center" textRotation="90" wrapText="1"/>
    </xf>
    <xf numFmtId="0" fontId="4" fillId="0" borderId="55" xfId="0" applyFont="1" applyBorder="1" applyAlignment="1">
      <alignment horizontal="center" vertical="center" textRotation="90" wrapText="1"/>
    </xf>
    <xf numFmtId="0" fontId="4" fillId="0" borderId="19" xfId="0" applyFont="1" applyBorder="1" applyAlignment="1">
      <alignment horizontal="center" vertical="center" textRotation="90" wrapText="1"/>
    </xf>
    <xf numFmtId="0" fontId="4" fillId="0" borderId="20"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22"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51" xfId="0" applyFont="1" applyBorder="1" applyAlignment="1">
      <alignment horizontal="center" vertical="center" textRotation="90" wrapText="1"/>
    </xf>
    <xf numFmtId="0" fontId="4" fillId="0" borderId="54" xfId="0" applyFont="1" applyBorder="1" applyAlignment="1">
      <alignment horizontal="center" vertical="center" textRotation="90" wrapText="1"/>
    </xf>
    <xf numFmtId="0" fontId="4" fillId="0" borderId="52"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4" fillId="0" borderId="44" xfId="0" applyFont="1" applyBorder="1" applyAlignment="1">
      <alignment horizontal="center" vertical="center" textRotation="90" wrapText="1"/>
    </xf>
    <xf numFmtId="0" fontId="0" fillId="5" borderId="59" xfId="0" applyFill="1" applyBorder="1" applyAlignment="1">
      <alignment wrapText="1"/>
    </xf>
    <xf numFmtId="0" fontId="7" fillId="5" borderId="1" xfId="0" applyFont="1" applyFill="1" applyBorder="1" applyAlignment="1">
      <alignment horizontal="center" vertical="center"/>
    </xf>
    <xf numFmtId="0" fontId="0" fillId="5" borderId="1" xfId="0" applyFill="1" applyBorder="1"/>
    <xf numFmtId="0" fontId="7" fillId="5" borderId="1" xfId="0" applyFont="1" applyFill="1" applyBorder="1" applyAlignment="1">
      <alignment horizontal="center"/>
    </xf>
    <xf numFmtId="0" fontId="0" fillId="5" borderId="1" xfId="0" applyFill="1" applyBorder="1" applyAlignment="1">
      <alignment wrapText="1"/>
    </xf>
    <xf numFmtId="0" fontId="0" fillId="5" borderId="1" xfId="0" applyFill="1" applyBorder="1" applyAlignment="1">
      <alignment horizontal="left"/>
    </xf>
    <xf numFmtId="0" fontId="0" fillId="5" borderId="59" xfId="0" applyFill="1" applyBorder="1" applyAlignment="1">
      <alignment horizontal="left" wrapText="1"/>
    </xf>
    <xf numFmtId="0" fontId="0" fillId="0" borderId="0" xfId="0" applyAlignment="1">
      <alignment horizontal="center" vertical="center" wrapText="1"/>
    </xf>
    <xf numFmtId="0" fontId="0" fillId="0" borderId="0" xfId="0" applyAlignment="1">
      <alignment horizontal="center" vertical="center"/>
    </xf>
  </cellXfs>
  <cellStyles count="4">
    <cellStyle name="Euro" xfId="1" xr:uid="{00000000-0005-0000-0000-000000000000}"/>
    <cellStyle name="Hipervínculo 2" xfId="3" xr:uid="{00000000-0005-0000-0000-000001000000}"/>
    <cellStyle name="Normal" xfId="0" builtinId="0"/>
    <cellStyle name="Procent" xfId="2" builtinId="5"/>
  </cellStyles>
  <dxfs count="74">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patternFill>
      </fill>
    </dxf>
    <dxf>
      <fill>
        <patternFill>
          <bgColor theme="0" tint="-0.1499679555650502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patternFill>
      </fill>
    </dxf>
    <dxf>
      <fill>
        <patternFill>
          <bgColor rgb="FFFFC7CE"/>
        </patternFill>
      </fill>
    </dxf>
    <dxf>
      <fill>
        <patternFill>
          <bgColor theme="0" tint="-0.14996795556505021"/>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theme="0" tint="-0.14996795556505021"/>
        </patternFill>
      </fill>
    </dxf>
    <dxf>
      <fill>
        <patternFill>
          <bgColor theme="0" tint="-0.14996795556505021"/>
        </patternFill>
      </fill>
    </dxf>
    <dxf>
      <font>
        <b/>
        <i val="0"/>
        <color rgb="FFC0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ont>
        <b/>
        <i val="0"/>
        <color rgb="FFC00000"/>
      </font>
    </dxf>
    <dxf>
      <font>
        <b/>
        <i val="0"/>
        <color rgb="FFC00000"/>
      </font>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ont>
        <color rgb="FF92D050"/>
      </font>
    </dxf>
    <dxf>
      <font>
        <color theme="5"/>
      </font>
    </dxf>
    <dxf>
      <fill>
        <patternFill>
          <bgColor theme="0"/>
        </patternFill>
      </fill>
    </dxf>
    <dxf>
      <font>
        <b/>
        <i val="0"/>
        <color rgb="FFC0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L$161" lockText="1" noThreeD="1"/>
</file>

<file path=xl/ctrlProps/ctrlProp11.xml><?xml version="1.0" encoding="utf-8"?>
<formControlPr xmlns="http://schemas.microsoft.com/office/spreadsheetml/2009/9/main" objectType="CheckBox" fmlaLink="$L$164"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L$36" lockText="1" noThreeD="1"/>
</file>

<file path=xl/ctrlProps/ctrlProp15.xml><?xml version="1.0" encoding="utf-8"?>
<formControlPr xmlns="http://schemas.microsoft.com/office/spreadsheetml/2009/9/main" objectType="CheckBox" fmlaLink="$L$39" lockText="1" noThreeD="1"/>
</file>

<file path=xl/ctrlProps/ctrlProp16.xml><?xml version="1.0" encoding="utf-8"?>
<formControlPr xmlns="http://schemas.microsoft.com/office/spreadsheetml/2009/9/main" objectType="CheckBox" fmlaLink="$L$47" lockText="1" noThreeD="1"/>
</file>

<file path=xl/ctrlProps/ctrlProp17.xml><?xml version="1.0" encoding="utf-8"?>
<formControlPr xmlns="http://schemas.microsoft.com/office/spreadsheetml/2009/9/main" objectType="CheckBox" fmlaLink="$L$53" lockText="1" noThreeD="1"/>
</file>

<file path=xl/ctrlProps/ctrlProp18.xml><?xml version="1.0" encoding="utf-8"?>
<formControlPr xmlns="http://schemas.microsoft.com/office/spreadsheetml/2009/9/main" objectType="CheckBox" fmlaLink="$L$79" lockText="1" noThreeD="1"/>
</file>

<file path=xl/ctrlProps/ctrlProp19.xml><?xml version="1.0" encoding="utf-8"?>
<formControlPr xmlns="http://schemas.microsoft.com/office/spreadsheetml/2009/9/main" objectType="CheckBox" fmlaLink="$L$82" lockText="1" noThreeD="1"/>
</file>

<file path=xl/ctrlProps/ctrlProp2.xml><?xml version="1.0" encoding="utf-8"?>
<formControlPr xmlns="http://schemas.microsoft.com/office/spreadsheetml/2009/9/main" objectType="CheckBox" fmlaLink="$L$13" lockText="1" noThreeD="1"/>
</file>

<file path=xl/ctrlProps/ctrlProp20.xml><?xml version="1.0" encoding="utf-8"?>
<formControlPr xmlns="http://schemas.microsoft.com/office/spreadsheetml/2009/9/main" objectType="CheckBox" fmlaLink="$R$36" lockText="1" noThreeD="1"/>
</file>

<file path=xl/ctrlProps/ctrlProp21.xml><?xml version="1.0" encoding="utf-8"?>
<formControlPr xmlns="http://schemas.microsoft.com/office/spreadsheetml/2009/9/main" objectType="CheckBox" fmlaLink="$R$39" lockText="1" noThreeD="1"/>
</file>

<file path=xl/ctrlProps/ctrlProp22.xml><?xml version="1.0" encoding="utf-8"?>
<formControlPr xmlns="http://schemas.microsoft.com/office/spreadsheetml/2009/9/main" objectType="CheckBox" fmlaLink="$L$85" lockText="1" noThreeD="1"/>
</file>

<file path=xl/ctrlProps/ctrlProp23.xml><?xml version="1.0" encoding="utf-8"?>
<formControlPr xmlns="http://schemas.microsoft.com/office/spreadsheetml/2009/9/main" objectType="CheckBox" fmlaLink="$L$88" lockText="1" noThreeD="1"/>
</file>

<file path=xl/ctrlProps/ctrlProp24.xml><?xml version="1.0" encoding="utf-8"?>
<formControlPr xmlns="http://schemas.microsoft.com/office/spreadsheetml/2009/9/main" objectType="CheckBox" fmlaLink="$L$91" lockText="1" noThreeD="1"/>
</file>

<file path=xl/ctrlProps/ctrlProp25.xml><?xml version="1.0" encoding="utf-8"?>
<formControlPr xmlns="http://schemas.microsoft.com/office/spreadsheetml/2009/9/main" objectType="CheckBox" fmlaLink="$L$98" lockText="1" noThreeD="1"/>
</file>

<file path=xl/ctrlProps/ctrlProp26.xml><?xml version="1.0" encoding="utf-8"?>
<formControlPr xmlns="http://schemas.microsoft.com/office/spreadsheetml/2009/9/main" objectType="CheckBox" fmlaLink="$L$102" lockText="1" noThreeD="1"/>
</file>

<file path=xl/ctrlProps/ctrlProp27.xml><?xml version="1.0" encoding="utf-8"?>
<formControlPr xmlns="http://schemas.microsoft.com/office/spreadsheetml/2009/9/main" objectType="CheckBox" fmlaLink="$L$104" lockText="1" noThreeD="1"/>
</file>

<file path=xl/ctrlProps/ctrlProp28.xml><?xml version="1.0" encoding="utf-8"?>
<formControlPr xmlns="http://schemas.microsoft.com/office/spreadsheetml/2009/9/main" objectType="CheckBox" fmlaLink="$L$107" lockText="1" noThreeD="1"/>
</file>

<file path=xl/ctrlProps/ctrlProp29.xml><?xml version="1.0" encoding="utf-8"?>
<formControlPr xmlns="http://schemas.microsoft.com/office/spreadsheetml/2009/9/main" objectType="CheckBox" fmlaLink="$L$110" lockText="1" noThreeD="1"/>
</file>

<file path=xl/ctrlProps/ctrlProp3.xml><?xml version="1.0" encoding="utf-8"?>
<formControlPr xmlns="http://schemas.microsoft.com/office/spreadsheetml/2009/9/main" objectType="CheckBox" fmlaLink="$L$22" lockText="1" noThreeD="1"/>
</file>

<file path=xl/ctrlProps/ctrlProp30.xml><?xml version="1.0" encoding="utf-8"?>
<formControlPr xmlns="http://schemas.microsoft.com/office/spreadsheetml/2009/9/main" objectType="CheckBox" fmlaLink="$L$122" lockText="1" noThreeD="1"/>
</file>

<file path=xl/ctrlProps/ctrlProp31.xml><?xml version="1.0" encoding="utf-8"?>
<formControlPr xmlns="http://schemas.microsoft.com/office/spreadsheetml/2009/9/main" objectType="CheckBox" fmlaLink="$L$124" lockText="1" noThreeD="1"/>
</file>

<file path=xl/ctrlProps/ctrlProp32.xml><?xml version="1.0" encoding="utf-8"?>
<formControlPr xmlns="http://schemas.microsoft.com/office/spreadsheetml/2009/9/main" objectType="CheckBox" fmlaLink="$L$127" lockText="1" noThreeD="1"/>
</file>

<file path=xl/ctrlProps/ctrlProp33.xml><?xml version="1.0" encoding="utf-8"?>
<formControlPr xmlns="http://schemas.microsoft.com/office/spreadsheetml/2009/9/main" objectType="CheckBox" checked="Checked" fmlaLink="$R$161" lockText="1" noThreeD="1"/>
</file>

<file path=xl/ctrlProps/ctrlProp34.xml><?xml version="1.0" encoding="utf-8"?>
<formControlPr xmlns="http://schemas.microsoft.com/office/spreadsheetml/2009/9/main" objectType="CheckBox" fmlaLink="$L$172" lockText="1" noThreeD="1"/>
</file>

<file path=xl/ctrlProps/ctrlProp35.xml><?xml version="1.0" encoding="utf-8"?>
<formControlPr xmlns="http://schemas.microsoft.com/office/spreadsheetml/2009/9/main" objectType="CheckBox" fmlaLink="$L$175" lockText="1" noThreeD="1"/>
</file>

<file path=xl/ctrlProps/ctrlProp36.xml><?xml version="1.0" encoding="utf-8"?>
<formControlPr xmlns="http://schemas.microsoft.com/office/spreadsheetml/2009/9/main" objectType="CheckBox" checked="Checked" fmlaLink="$R$172" lockText="1" noThreeD="1"/>
</file>

<file path=xl/ctrlProps/ctrlProp37.xml><?xml version="1.0" encoding="utf-8"?>
<formControlPr xmlns="http://schemas.microsoft.com/office/spreadsheetml/2009/9/main" objectType="CheckBox" fmlaLink="$L$180" lockText="1" noThreeD="1"/>
</file>

<file path=xl/ctrlProps/ctrlProp38.xml><?xml version="1.0" encoding="utf-8"?>
<formControlPr xmlns="http://schemas.microsoft.com/office/spreadsheetml/2009/9/main" objectType="CheckBox" fmlaLink="$L$183" lockText="1" noThreeD="1"/>
</file>

<file path=xl/ctrlProps/ctrlProp39.xml><?xml version="1.0" encoding="utf-8"?>
<formControlPr xmlns="http://schemas.microsoft.com/office/spreadsheetml/2009/9/main" objectType="CheckBox" checked="Checked" fmlaLink="$R$180" lockText="1" noThreeD="1"/>
</file>

<file path=xl/ctrlProps/ctrlProp4.xml><?xml version="1.0" encoding="utf-8"?>
<formControlPr xmlns="http://schemas.microsoft.com/office/spreadsheetml/2009/9/main" objectType="CheckBox" fmlaLink="$L$8" lockText="1" noThreeD="1"/>
</file>

<file path=xl/ctrlProps/ctrlProp5.xml><?xml version="1.0" encoding="utf-8"?>
<formControlPr xmlns="http://schemas.microsoft.com/office/spreadsheetml/2009/9/main" objectType="CheckBox" fmlaLink="$R$8" lockText="1" noThreeD="1"/>
</file>

<file path=xl/ctrlProps/ctrlProp6.xml><?xml version="1.0" encoding="utf-8"?>
<formControlPr xmlns="http://schemas.microsoft.com/office/spreadsheetml/2009/9/main" objectType="CheckBox" fmlaLink="$L$28" lockText="1" noThreeD="1"/>
</file>

<file path=xl/ctrlProps/ctrlProp7.xml><?xml version="1.0" encoding="utf-8"?>
<formControlPr xmlns="http://schemas.microsoft.com/office/spreadsheetml/2009/9/main" objectType="CheckBox" fmlaLink="$R$28" lockText="1" noThreeD="1"/>
</file>

<file path=xl/ctrlProps/ctrlProp8.xml><?xml version="1.0" encoding="utf-8"?>
<formControlPr xmlns="http://schemas.microsoft.com/office/spreadsheetml/2009/9/main" objectType="CheckBox" fmlaLink="$L$30" lockText="1" noThreeD="1"/>
</file>

<file path=xl/ctrlProps/ctrlProp9.xml><?xml version="1.0" encoding="utf-8"?>
<formControlPr xmlns="http://schemas.microsoft.com/office/spreadsheetml/2009/9/main" objectType="CheckBox" fmlaLink="$R$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342900</xdr:rowOff>
        </xdr:from>
        <xdr:to>
          <xdr:col>3</xdr:col>
          <xdr:colOff>104775</xdr:colOff>
          <xdr:row>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171450</xdr:rowOff>
        </xdr:from>
        <xdr:to>
          <xdr:col>3</xdr:col>
          <xdr:colOff>85725</xdr:colOff>
          <xdr:row>13</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0</xdr:rowOff>
        </xdr:from>
        <xdr:to>
          <xdr:col>3</xdr:col>
          <xdr:colOff>171450</xdr:colOff>
          <xdr:row>22</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3</xdr:col>
          <xdr:colOff>114300</xdr:colOff>
          <xdr:row>8</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9525</xdr:rowOff>
        </xdr:from>
        <xdr:to>
          <xdr:col>13</xdr:col>
          <xdr:colOff>447675</xdr:colOff>
          <xdr:row>3</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133350</xdr:rowOff>
        </xdr:from>
        <xdr:to>
          <xdr:col>3</xdr:col>
          <xdr:colOff>114300</xdr:colOff>
          <xdr:row>28</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xdr:row>
          <xdr:rowOff>180975</xdr:rowOff>
        </xdr:from>
        <xdr:to>
          <xdr:col>13</xdr:col>
          <xdr:colOff>466725</xdr:colOff>
          <xdr:row>22</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161925</xdr:rowOff>
        </xdr:from>
        <xdr:to>
          <xdr:col>3</xdr:col>
          <xdr:colOff>123825</xdr:colOff>
          <xdr:row>30</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23</xdr:row>
          <xdr:rowOff>57150</xdr:rowOff>
        </xdr:from>
        <xdr:to>
          <xdr:col>13</xdr:col>
          <xdr:colOff>466725</xdr:colOff>
          <xdr:row>24</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159</xdr:row>
          <xdr:rowOff>314325</xdr:rowOff>
        </xdr:from>
        <xdr:to>
          <xdr:col>3</xdr:col>
          <xdr:colOff>123825</xdr:colOff>
          <xdr:row>161</xdr:row>
          <xdr:rowOff>28575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162</xdr:row>
          <xdr:rowOff>142875</xdr:rowOff>
        </xdr:from>
        <xdr:to>
          <xdr:col>3</xdr:col>
          <xdr:colOff>142875</xdr:colOff>
          <xdr:row>164</xdr:row>
          <xdr:rowOff>47625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163</xdr:row>
          <xdr:rowOff>142875</xdr:rowOff>
        </xdr:from>
        <xdr:to>
          <xdr:col>3</xdr:col>
          <xdr:colOff>400050</xdr:colOff>
          <xdr:row>165</xdr:row>
          <xdr:rowOff>38100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165</xdr:row>
          <xdr:rowOff>133350</xdr:rowOff>
        </xdr:from>
        <xdr:to>
          <xdr:col>3</xdr:col>
          <xdr:colOff>409575</xdr:colOff>
          <xdr:row>167</xdr:row>
          <xdr:rowOff>28575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34</xdr:row>
          <xdr:rowOff>133350</xdr:rowOff>
        </xdr:from>
        <xdr:to>
          <xdr:col>3</xdr:col>
          <xdr:colOff>190500</xdr:colOff>
          <xdr:row>36</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47625</xdr:rowOff>
        </xdr:from>
        <xdr:to>
          <xdr:col>3</xdr:col>
          <xdr:colOff>200025</xdr:colOff>
          <xdr:row>39</xdr:row>
          <xdr:rowOff>19050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57150</xdr:rowOff>
        </xdr:from>
        <xdr:to>
          <xdr:col>3</xdr:col>
          <xdr:colOff>209550</xdr:colOff>
          <xdr:row>47</xdr:row>
          <xdr:rowOff>28575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7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142875</xdr:rowOff>
        </xdr:from>
        <xdr:to>
          <xdr:col>3</xdr:col>
          <xdr:colOff>200025</xdr:colOff>
          <xdr:row>53</xdr:row>
          <xdr:rowOff>28575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171450</xdr:rowOff>
        </xdr:from>
        <xdr:to>
          <xdr:col>3</xdr:col>
          <xdr:colOff>228600</xdr:colOff>
          <xdr:row>79</xdr:row>
          <xdr:rowOff>28575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80</xdr:row>
          <xdr:rowOff>66675</xdr:rowOff>
        </xdr:from>
        <xdr:to>
          <xdr:col>3</xdr:col>
          <xdr:colOff>247650</xdr:colOff>
          <xdr:row>82</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34</xdr:row>
          <xdr:rowOff>152400</xdr:rowOff>
        </xdr:from>
        <xdr:to>
          <xdr:col>13</xdr:col>
          <xdr:colOff>466725</xdr:colOff>
          <xdr:row>36</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57150</xdr:rowOff>
        </xdr:from>
        <xdr:to>
          <xdr:col>13</xdr:col>
          <xdr:colOff>466725</xdr:colOff>
          <xdr:row>39</xdr:row>
          <xdr:rowOff>9525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7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83</xdr:row>
          <xdr:rowOff>161925</xdr:rowOff>
        </xdr:from>
        <xdr:to>
          <xdr:col>3</xdr:col>
          <xdr:colOff>238125</xdr:colOff>
          <xdr:row>85</xdr:row>
          <xdr:rowOff>19050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7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86</xdr:row>
          <xdr:rowOff>123825</xdr:rowOff>
        </xdr:from>
        <xdr:to>
          <xdr:col>3</xdr:col>
          <xdr:colOff>247650</xdr:colOff>
          <xdr:row>88</xdr:row>
          <xdr:rowOff>47625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7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89</xdr:row>
          <xdr:rowOff>161925</xdr:rowOff>
        </xdr:from>
        <xdr:to>
          <xdr:col>3</xdr:col>
          <xdr:colOff>238125</xdr:colOff>
          <xdr:row>91</xdr:row>
          <xdr:rowOff>19050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152400</xdr:rowOff>
        </xdr:from>
        <xdr:to>
          <xdr:col>3</xdr:col>
          <xdr:colOff>228600</xdr:colOff>
          <xdr:row>98</xdr:row>
          <xdr:rowOff>47625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100</xdr:row>
          <xdr:rowOff>180975</xdr:rowOff>
        </xdr:from>
        <xdr:to>
          <xdr:col>3</xdr:col>
          <xdr:colOff>219075</xdr:colOff>
          <xdr:row>102</xdr:row>
          <xdr:rowOff>38100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102</xdr:row>
          <xdr:rowOff>133350</xdr:rowOff>
        </xdr:from>
        <xdr:to>
          <xdr:col>3</xdr:col>
          <xdr:colOff>209550</xdr:colOff>
          <xdr:row>104</xdr:row>
          <xdr:rowOff>47625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7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105</xdr:row>
          <xdr:rowOff>133350</xdr:rowOff>
        </xdr:from>
        <xdr:to>
          <xdr:col>3</xdr:col>
          <xdr:colOff>219075</xdr:colOff>
          <xdr:row>107</xdr:row>
          <xdr:rowOff>47625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142875</xdr:rowOff>
        </xdr:from>
        <xdr:to>
          <xdr:col>3</xdr:col>
          <xdr:colOff>219075</xdr:colOff>
          <xdr:row>110</xdr:row>
          <xdr:rowOff>47625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7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120</xdr:row>
          <xdr:rowOff>171450</xdr:rowOff>
        </xdr:from>
        <xdr:to>
          <xdr:col>3</xdr:col>
          <xdr:colOff>219075</xdr:colOff>
          <xdr:row>122</xdr:row>
          <xdr:rowOff>28575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7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122</xdr:row>
          <xdr:rowOff>142875</xdr:rowOff>
        </xdr:from>
        <xdr:to>
          <xdr:col>3</xdr:col>
          <xdr:colOff>219075</xdr:colOff>
          <xdr:row>124</xdr:row>
          <xdr:rowOff>47625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7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125</xdr:row>
          <xdr:rowOff>142875</xdr:rowOff>
        </xdr:from>
        <xdr:to>
          <xdr:col>3</xdr:col>
          <xdr:colOff>209550</xdr:colOff>
          <xdr:row>127</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7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159</xdr:row>
          <xdr:rowOff>323850</xdr:rowOff>
        </xdr:from>
        <xdr:to>
          <xdr:col>13</xdr:col>
          <xdr:colOff>419100</xdr:colOff>
          <xdr:row>161</xdr:row>
          <xdr:rowOff>28575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7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170</xdr:row>
          <xdr:rowOff>314325</xdr:rowOff>
        </xdr:from>
        <xdr:to>
          <xdr:col>3</xdr:col>
          <xdr:colOff>123825</xdr:colOff>
          <xdr:row>172</xdr:row>
          <xdr:rowOff>28575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7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173</xdr:row>
          <xdr:rowOff>142875</xdr:rowOff>
        </xdr:from>
        <xdr:to>
          <xdr:col>3</xdr:col>
          <xdr:colOff>142875</xdr:colOff>
          <xdr:row>175</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7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170</xdr:row>
          <xdr:rowOff>323850</xdr:rowOff>
        </xdr:from>
        <xdr:to>
          <xdr:col>13</xdr:col>
          <xdr:colOff>419100</xdr:colOff>
          <xdr:row>172</xdr:row>
          <xdr:rowOff>28575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7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178</xdr:row>
          <xdr:rowOff>314325</xdr:rowOff>
        </xdr:from>
        <xdr:to>
          <xdr:col>3</xdr:col>
          <xdr:colOff>123825</xdr:colOff>
          <xdr:row>180</xdr:row>
          <xdr:rowOff>28575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7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181</xdr:row>
          <xdr:rowOff>142875</xdr:rowOff>
        </xdr:from>
        <xdr:to>
          <xdr:col>3</xdr:col>
          <xdr:colOff>142875</xdr:colOff>
          <xdr:row>183</xdr:row>
          <xdr:rowOff>47625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7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178</xdr:row>
          <xdr:rowOff>323850</xdr:rowOff>
        </xdr:from>
        <xdr:to>
          <xdr:col>13</xdr:col>
          <xdr:colOff>419100</xdr:colOff>
          <xdr:row>180</xdr:row>
          <xdr:rowOff>28575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7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43"/>
  <sheetViews>
    <sheetView tabSelected="1" zoomScaleNormal="100" workbookViewId="0">
      <selection activeCell="D3" sqref="D3:E3"/>
    </sheetView>
  </sheetViews>
  <sheetFormatPr defaultColWidth="11.42578125" defaultRowHeight="13.5" customHeight="1"/>
  <cols>
    <col min="1" max="2" width="2.5703125" style="163" customWidth="1"/>
    <col min="3" max="3" width="30.7109375" style="163" customWidth="1"/>
    <col min="4" max="4" width="25.7109375" style="163" customWidth="1"/>
    <col min="5" max="5" width="25.85546875" style="163" customWidth="1"/>
    <col min="6" max="6" width="20.7109375" style="163" customWidth="1"/>
    <col min="7" max="7" width="14.7109375" style="163" customWidth="1"/>
    <col min="8" max="8" width="21.42578125" style="163" customWidth="1"/>
    <col min="9" max="9" width="22.85546875" style="163" customWidth="1"/>
    <col min="10" max="11" width="14" style="163" customWidth="1"/>
    <col min="12" max="12" width="2.5703125" style="163" customWidth="1"/>
    <col min="13" max="13" width="15.140625" style="163" customWidth="1"/>
    <col min="14" max="27" width="11.42578125" style="163"/>
    <col min="28" max="28" width="0" style="2" hidden="1" customWidth="1"/>
    <col min="29" max="16384" width="11.42578125" style="163"/>
  </cols>
  <sheetData>
    <row r="2" spans="3:28" ht="13.5" customHeight="1">
      <c r="C2" s="93" t="s">
        <v>8</v>
      </c>
      <c r="D2" s="94" t="s">
        <v>426</v>
      </c>
      <c r="E2" s="2" t="s">
        <v>482</v>
      </c>
      <c r="F2" s="2"/>
      <c r="G2" s="2"/>
      <c r="H2" s="2"/>
      <c r="I2" s="2"/>
    </row>
    <row r="3" spans="3:28" ht="13.5" customHeight="1">
      <c r="C3" s="95" t="s">
        <v>418</v>
      </c>
      <c r="D3" s="300"/>
      <c r="E3" s="300"/>
      <c r="G3" s="96" t="s">
        <v>413</v>
      </c>
      <c r="H3" s="174"/>
    </row>
    <row r="4" spans="3:28" ht="13.5" customHeight="1">
      <c r="C4" s="96" t="s">
        <v>10</v>
      </c>
      <c r="D4" s="301" t="s">
        <v>463</v>
      </c>
      <c r="E4" s="301"/>
      <c r="G4" s="96" t="s">
        <v>414</v>
      </c>
      <c r="H4" s="201"/>
    </row>
    <row r="5" spans="3:28" ht="13.5" customHeight="1">
      <c r="C5" s="96" t="s">
        <v>9</v>
      </c>
      <c r="D5" s="301" t="s">
        <v>464</v>
      </c>
      <c r="E5" s="301"/>
      <c r="F5" s="304" t="s">
        <v>299</v>
      </c>
      <c r="G5" s="305"/>
      <c r="H5" s="306"/>
    </row>
    <row r="6" spans="3:28" ht="13.5" customHeight="1">
      <c r="C6" s="154" t="s">
        <v>257</v>
      </c>
      <c r="D6" s="302" t="s">
        <v>465</v>
      </c>
      <c r="E6" s="302"/>
      <c r="F6" s="304"/>
      <c r="G6" s="307"/>
      <c r="H6" s="308"/>
      <c r="AB6" s="132"/>
    </row>
    <row r="7" spans="3:28" ht="13.5" customHeight="1">
      <c r="C7" s="200" t="s">
        <v>419</v>
      </c>
      <c r="D7" s="300"/>
      <c r="E7" s="300"/>
      <c r="F7" s="304"/>
      <c r="G7" s="307"/>
      <c r="H7" s="308"/>
    </row>
    <row r="8" spans="3:28" ht="13.5" customHeight="1">
      <c r="C8" s="95" t="s">
        <v>420</v>
      </c>
      <c r="D8" s="300"/>
      <c r="E8" s="300"/>
      <c r="F8" s="304"/>
      <c r="G8" s="309"/>
      <c r="H8" s="310"/>
      <c r="AB8" s="1"/>
    </row>
    <row r="9" spans="3:28" ht="13.5" customHeight="1">
      <c r="AB9" s="1"/>
    </row>
    <row r="10" spans="3:28" ht="38.25">
      <c r="C10" s="155" t="s">
        <v>415</v>
      </c>
      <c r="D10" s="155" t="s">
        <v>421</v>
      </c>
      <c r="E10" s="159" t="s">
        <v>422</v>
      </c>
      <c r="F10" s="155" t="s">
        <v>416</v>
      </c>
      <c r="G10" s="303" t="s">
        <v>423</v>
      </c>
      <c r="H10" s="303"/>
    </row>
    <row r="11" spans="3:28" ht="13.5" customHeight="1">
      <c r="C11" s="174"/>
      <c r="D11" s="174"/>
      <c r="E11" s="174"/>
      <c r="F11" s="174"/>
      <c r="G11" s="278"/>
      <c r="H11" s="279"/>
      <c r="AB11">
        <v>300</v>
      </c>
    </row>
    <row r="12" spans="3:28" ht="13.5" customHeight="1">
      <c r="C12" s="174"/>
      <c r="D12" s="174"/>
      <c r="E12" s="174"/>
      <c r="F12" s="174"/>
      <c r="G12" s="278"/>
      <c r="H12" s="279"/>
      <c r="AB12">
        <v>301</v>
      </c>
    </row>
    <row r="13" spans="3:28" ht="13.5" customHeight="1">
      <c r="C13" s="174"/>
      <c r="D13" s="174"/>
      <c r="E13" s="174"/>
      <c r="F13" s="174"/>
      <c r="G13" s="278"/>
      <c r="H13" s="279"/>
      <c r="AB13">
        <v>310</v>
      </c>
    </row>
    <row r="14" spans="3:28" ht="13.5" customHeight="1">
      <c r="C14" s="174"/>
      <c r="D14" s="174"/>
      <c r="E14" s="174"/>
      <c r="F14" s="174"/>
      <c r="G14" s="278"/>
      <c r="H14" s="279"/>
      <c r="AB14">
        <v>311</v>
      </c>
    </row>
    <row r="15" spans="3:28" ht="13.5" customHeight="1">
      <c r="C15" s="174"/>
      <c r="D15" s="174"/>
      <c r="E15" s="174"/>
      <c r="F15" s="174"/>
      <c r="G15" s="278"/>
      <c r="H15" s="279"/>
      <c r="AB15">
        <v>330</v>
      </c>
    </row>
    <row r="16" spans="3:28" ht="13.5" customHeight="1">
      <c r="C16" s="174"/>
      <c r="D16" s="174"/>
      <c r="E16" s="174"/>
      <c r="F16" s="174"/>
      <c r="G16" s="278"/>
      <c r="H16" s="279"/>
      <c r="AB16">
        <v>331</v>
      </c>
    </row>
    <row r="17" spans="2:28" ht="13.5" customHeight="1">
      <c r="C17" s="174"/>
      <c r="D17" s="174"/>
      <c r="E17" s="174"/>
      <c r="F17" s="174"/>
      <c r="G17" s="278"/>
      <c r="H17" s="279"/>
      <c r="AB17">
        <v>304</v>
      </c>
    </row>
    <row r="18" spans="2:28" ht="13.5" customHeight="1">
      <c r="C18" s="174"/>
      <c r="D18" s="174"/>
      <c r="E18" s="174"/>
      <c r="F18" s="174"/>
      <c r="G18" s="278"/>
      <c r="H18" s="279"/>
      <c r="AB18">
        <v>370</v>
      </c>
    </row>
    <row r="19" spans="2:28" ht="13.5" customHeight="1">
      <c r="C19" s="174"/>
      <c r="D19" s="174"/>
      <c r="E19" s="174"/>
      <c r="F19" s="174"/>
      <c r="G19" s="278"/>
      <c r="H19" s="279"/>
      <c r="AB19">
        <v>371</v>
      </c>
    </row>
    <row r="20" spans="2:28" ht="13.5" customHeight="1">
      <c r="C20" s="174"/>
      <c r="D20" s="174"/>
      <c r="E20" s="174"/>
      <c r="F20" s="174"/>
      <c r="G20" s="278"/>
      <c r="H20" s="279"/>
      <c r="AB20">
        <v>372</v>
      </c>
    </row>
    <row r="21" spans="2:28" ht="13.5" customHeight="1">
      <c r="C21" s="174"/>
      <c r="D21" s="174"/>
      <c r="E21" s="174"/>
      <c r="F21" s="174"/>
      <c r="G21" s="278"/>
      <c r="H21" s="279"/>
      <c r="AB21">
        <v>373</v>
      </c>
    </row>
    <row r="22" spans="2:28" ht="13.5" customHeight="1">
      <c r="C22" s="174"/>
      <c r="D22" s="174"/>
      <c r="E22" s="174"/>
      <c r="F22" s="174"/>
      <c r="G22" s="278"/>
      <c r="H22" s="279"/>
      <c r="AB22">
        <v>317</v>
      </c>
    </row>
    <row r="23" spans="2:28" ht="13.5" customHeight="1">
      <c r="C23" s="174"/>
      <c r="D23" s="174"/>
      <c r="E23" s="174"/>
      <c r="F23" s="174"/>
      <c r="G23" s="278"/>
      <c r="H23" s="279"/>
      <c r="AB23">
        <v>334</v>
      </c>
    </row>
    <row r="24" spans="2:28" thickBot="1">
      <c r="F24" s="164"/>
      <c r="G24" s="164"/>
      <c r="H24" s="164"/>
      <c r="I24" s="164"/>
      <c r="J24" s="164"/>
      <c r="AB24">
        <v>400</v>
      </c>
    </row>
    <row r="25" spans="2:28" ht="13.5" customHeight="1" thickBot="1">
      <c r="B25" s="156" t="s">
        <v>434</v>
      </c>
      <c r="C25" s="165" t="s">
        <v>425</v>
      </c>
      <c r="D25" s="166"/>
      <c r="E25" s="166"/>
      <c r="F25" s="166"/>
      <c r="G25" s="166"/>
      <c r="H25" s="167"/>
      <c r="I25" s="164"/>
      <c r="J25" s="164"/>
      <c r="K25" s="164"/>
      <c r="AB25">
        <v>410</v>
      </c>
    </row>
    <row r="26" spans="2:28" thickBot="1">
      <c r="F26" s="164"/>
      <c r="G26" s="164"/>
      <c r="H26" s="164"/>
      <c r="I26" s="164"/>
      <c r="J26" s="164"/>
      <c r="AB26">
        <v>411</v>
      </c>
    </row>
    <row r="27" spans="2:28" thickBot="1">
      <c r="B27" s="157" t="s">
        <v>434</v>
      </c>
      <c r="C27" s="280" t="s">
        <v>424</v>
      </c>
      <c r="D27" s="281"/>
      <c r="E27" s="281"/>
      <c r="F27" s="281"/>
      <c r="G27" s="281"/>
      <c r="H27" s="282"/>
      <c r="I27" s="168"/>
      <c r="J27" s="168"/>
      <c r="K27" s="168"/>
      <c r="L27" s="168"/>
      <c r="M27" s="168"/>
      <c r="AB27">
        <v>412</v>
      </c>
    </row>
    <row r="28" spans="2:28" ht="13.5" customHeight="1" thickBot="1">
      <c r="B28" s="83"/>
      <c r="C28" s="169"/>
      <c r="D28" s="169"/>
      <c r="E28" s="169"/>
      <c r="F28" s="169"/>
      <c r="G28" s="169"/>
      <c r="H28" s="169"/>
      <c r="I28" s="169"/>
      <c r="J28" s="169"/>
      <c r="K28" s="169"/>
      <c r="L28" s="168"/>
      <c r="M28" s="168"/>
      <c r="AB28">
        <v>413</v>
      </c>
    </row>
    <row r="29" spans="2:28" ht="13.5" customHeight="1" thickBot="1">
      <c r="B29" s="157" t="s">
        <v>434</v>
      </c>
      <c r="C29" s="296" t="s">
        <v>478</v>
      </c>
      <c r="D29" s="297"/>
      <c r="E29" s="297"/>
      <c r="F29" s="297"/>
      <c r="G29" s="298"/>
      <c r="H29" s="299"/>
      <c r="I29" s="169"/>
      <c r="J29" s="169"/>
      <c r="K29" s="169"/>
      <c r="L29" s="168"/>
      <c r="M29" s="168"/>
      <c r="AB29">
        <v>420</v>
      </c>
    </row>
    <row r="30" spans="2:28" ht="13.5" customHeight="1">
      <c r="B30" s="83"/>
      <c r="C30" s="169"/>
      <c r="D30" s="169"/>
      <c r="E30" s="169"/>
      <c r="F30" s="169"/>
      <c r="G30" s="169"/>
      <c r="H30" s="169"/>
      <c r="I30" s="169"/>
      <c r="J30" s="169"/>
      <c r="K30" s="169"/>
      <c r="L30" s="168"/>
      <c r="M30" s="168"/>
      <c r="AB30">
        <v>340</v>
      </c>
    </row>
    <row r="31" spans="2:28" ht="13.5" customHeight="1" thickBot="1">
      <c r="B31" s="83"/>
      <c r="C31" s="172" t="s">
        <v>479</v>
      </c>
      <c r="D31" s="169"/>
      <c r="E31" s="169"/>
      <c r="F31" s="169"/>
      <c r="G31" s="169"/>
      <c r="H31" s="169"/>
      <c r="I31" s="169"/>
      <c r="J31" s="169"/>
      <c r="K31" s="169"/>
      <c r="L31" s="168"/>
      <c r="M31" s="168"/>
      <c r="AB31">
        <v>341</v>
      </c>
    </row>
    <row r="32" spans="2:28" ht="13.5" customHeight="1" thickBot="1">
      <c r="B32" s="83"/>
      <c r="C32" s="295"/>
      <c r="D32" s="281"/>
      <c r="E32" s="281"/>
      <c r="F32" s="281"/>
      <c r="G32" s="281"/>
      <c r="H32" s="282"/>
      <c r="I32" s="169"/>
      <c r="J32" s="169"/>
      <c r="K32" s="169"/>
      <c r="L32" s="168"/>
      <c r="M32" s="168"/>
      <c r="AB32">
        <v>350</v>
      </c>
    </row>
    <row r="33" spans="2:28" ht="13.5" customHeight="1">
      <c r="B33" s="83"/>
      <c r="C33" s="169"/>
      <c r="D33" s="169"/>
      <c r="E33" s="169"/>
      <c r="F33" s="169"/>
      <c r="G33" s="169"/>
      <c r="H33" s="169"/>
      <c r="I33" s="169"/>
      <c r="J33" s="169"/>
      <c r="K33" s="169"/>
      <c r="L33" s="168"/>
      <c r="M33" s="168"/>
      <c r="AB33">
        <v>351</v>
      </c>
    </row>
    <row r="34" spans="2:28" thickBot="1">
      <c r="AB34">
        <v>360</v>
      </c>
    </row>
    <row r="35" spans="2:28" thickBot="1">
      <c r="C35" s="170" t="s">
        <v>412</v>
      </c>
      <c r="D35" s="276"/>
      <c r="E35" s="277"/>
      <c r="F35" s="171" t="s">
        <v>428</v>
      </c>
      <c r="G35" s="157"/>
      <c r="H35" s="153"/>
      <c r="I35" s="158"/>
      <c r="AB35">
        <v>361</v>
      </c>
    </row>
    <row r="36" spans="2:28" thickBot="1">
      <c r="C36" s="170"/>
      <c r="D36" s="170"/>
      <c r="E36" s="172"/>
      <c r="F36" s="172"/>
      <c r="G36" s="172"/>
      <c r="H36" s="172"/>
      <c r="I36" s="172"/>
      <c r="AB36">
        <v>362</v>
      </c>
    </row>
    <row r="37" spans="2:28" thickBot="1">
      <c r="C37" s="274" t="s">
        <v>429</v>
      </c>
      <c r="D37" s="275"/>
      <c r="E37" s="292"/>
      <c r="F37" s="293"/>
      <c r="G37" s="293"/>
      <c r="H37" s="293"/>
      <c r="I37" s="294"/>
    </row>
    <row r="38" spans="2:28" thickBot="1">
      <c r="C38" s="170"/>
      <c r="D38" s="170"/>
      <c r="E38" s="172"/>
      <c r="F38" s="172"/>
      <c r="G38" s="172"/>
      <c r="H38" s="172"/>
      <c r="I38" s="172"/>
    </row>
    <row r="39" spans="2:28" ht="13.5" customHeight="1">
      <c r="C39" s="170"/>
      <c r="D39" s="170"/>
      <c r="E39" s="164"/>
      <c r="F39" s="164"/>
      <c r="G39" s="283"/>
      <c r="H39" s="284"/>
      <c r="I39" s="285"/>
    </row>
    <row r="40" spans="2:28" thickBot="1">
      <c r="C40" s="170"/>
      <c r="D40" s="170"/>
      <c r="E40" s="164"/>
      <c r="F40" s="164"/>
      <c r="G40" s="286"/>
      <c r="H40" s="287"/>
      <c r="I40" s="288"/>
    </row>
    <row r="41" spans="2:28" thickBot="1">
      <c r="C41" s="171" t="s">
        <v>413</v>
      </c>
      <c r="D41" s="276"/>
      <c r="E41" s="277"/>
      <c r="F41" s="171" t="s">
        <v>430</v>
      </c>
      <c r="G41" s="289"/>
      <c r="H41" s="290"/>
      <c r="I41" s="291"/>
    </row>
    <row r="42" spans="2:28" ht="13.5" customHeight="1">
      <c r="F42" s="173"/>
    </row>
    <row r="43" spans="2:28" ht="13.5" customHeight="1">
      <c r="F43" s="173"/>
    </row>
  </sheetData>
  <sheetProtection algorithmName="SHA-512" hashValue="mB36OQ5fT620udOPzV7y4CkK+iy6bgCktoQ8US8uKYe+x6NAx7eqpLkSTeV3gB5EtwOlvKr5vQNSSsLygufvzg==" saltValue="UAhaJiQtaWLtS2xTS7OmcA==" spinCount="100000" sheet="1" selectLockedCells="1"/>
  <mergeCells count="31">
    <mergeCell ref="G16:H16"/>
    <mergeCell ref="D3:E3"/>
    <mergeCell ref="D4:E4"/>
    <mergeCell ref="D5:E5"/>
    <mergeCell ref="D6:E6"/>
    <mergeCell ref="G15:H15"/>
    <mergeCell ref="G10:H10"/>
    <mergeCell ref="G11:H11"/>
    <mergeCell ref="G12:H12"/>
    <mergeCell ref="G13:H13"/>
    <mergeCell ref="G14:H14"/>
    <mergeCell ref="D8:E8"/>
    <mergeCell ref="D7:E7"/>
    <mergeCell ref="F5:F8"/>
    <mergeCell ref="G5:H8"/>
    <mergeCell ref="C37:D37"/>
    <mergeCell ref="D41:E41"/>
    <mergeCell ref="G17:H17"/>
    <mergeCell ref="G18:H18"/>
    <mergeCell ref="G19:H19"/>
    <mergeCell ref="G20:H20"/>
    <mergeCell ref="G21:H21"/>
    <mergeCell ref="C27:H27"/>
    <mergeCell ref="D35:E35"/>
    <mergeCell ref="G39:I41"/>
    <mergeCell ref="E37:I37"/>
    <mergeCell ref="G22:H22"/>
    <mergeCell ref="G23:H23"/>
    <mergeCell ref="C32:H32"/>
    <mergeCell ref="C29:F29"/>
    <mergeCell ref="G29:H29"/>
  </mergeCells>
  <conditionalFormatting sqref="G29">
    <cfRule type="expression" dxfId="73" priority="58">
      <formula>SUMPRODUCT(ISNUMBER(FIND($AB$11:$AB$35,G29))*1)&gt;0</formula>
    </cfRule>
  </conditionalFormatting>
  <dataValidations count="2">
    <dataValidation showInputMessage="1" showErrorMessage="1" sqref="D4:E5" xr:uid="{00000000-0002-0000-0000-000000000000}"/>
    <dataValidation showDropDown="1" showInputMessage="1" showErrorMessage="1" sqref="D6:E6"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Hoja2!$B$62:$B$62</xm:f>
          </x14:formula1>
          <xm:sqref>C32:H32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2:K73"/>
  <sheetViews>
    <sheetView zoomScaleNormal="100" workbookViewId="0">
      <selection activeCell="D7" sqref="D7"/>
    </sheetView>
  </sheetViews>
  <sheetFormatPr defaultColWidth="11.42578125" defaultRowHeight="12.75"/>
  <cols>
    <col min="1" max="1" width="3.42578125" style="2" customWidth="1"/>
    <col min="2" max="2" width="4.5703125" style="2" customWidth="1"/>
    <col min="3" max="7" width="11.42578125" style="2"/>
    <col min="8" max="9" width="12.5703125" style="2" customWidth="1"/>
    <col min="10" max="16384" width="11.42578125" style="2"/>
  </cols>
  <sheetData>
    <row r="2" spans="1:11" ht="20.25">
      <c r="A2" s="99" t="s">
        <v>510</v>
      </c>
    </row>
    <row r="4" spans="1:11" ht="15">
      <c r="B4" s="100" t="s">
        <v>357</v>
      </c>
      <c r="C4" s="48"/>
      <c r="D4" s="48"/>
      <c r="E4" s="48"/>
      <c r="F4" s="48"/>
      <c r="G4" s="48"/>
      <c r="H4" s="48"/>
      <c r="I4" s="48"/>
      <c r="J4" s="48"/>
      <c r="K4" s="48"/>
    </row>
    <row r="5" spans="1:11" ht="12.75" customHeight="1">
      <c r="B5" s="399" t="s">
        <v>511</v>
      </c>
      <c r="C5" s="399"/>
      <c r="D5" s="399"/>
      <c r="E5" s="399"/>
      <c r="F5" s="399"/>
      <c r="G5" s="399"/>
      <c r="H5" s="399"/>
      <c r="I5" s="399"/>
      <c r="J5" s="399"/>
      <c r="K5" s="399"/>
    </row>
    <row r="6" spans="1:11">
      <c r="B6" s="399"/>
      <c r="C6" s="399"/>
      <c r="D6" s="399"/>
      <c r="E6" s="399"/>
      <c r="F6" s="399"/>
      <c r="G6" s="399"/>
      <c r="H6" s="399"/>
      <c r="I6" s="399"/>
      <c r="J6" s="399"/>
      <c r="K6" s="399"/>
    </row>
    <row r="8" spans="1:11">
      <c r="B8" s="54" t="s">
        <v>358</v>
      </c>
    </row>
    <row r="10" spans="1:11">
      <c r="B10" s="101" t="s">
        <v>359</v>
      </c>
      <c r="C10" s="48"/>
      <c r="D10" s="48"/>
      <c r="E10" s="48"/>
      <c r="F10" s="48"/>
      <c r="G10" s="48"/>
      <c r="H10" s="48"/>
      <c r="I10" s="48"/>
      <c r="J10" s="48"/>
      <c r="K10" s="48"/>
    </row>
    <row r="11" spans="1:11" ht="25.5" customHeight="1">
      <c r="B11" s="390" t="s">
        <v>360</v>
      </c>
      <c r="C11" s="390"/>
      <c r="D11" s="390"/>
      <c r="E11" s="390"/>
      <c r="F11" s="390"/>
      <c r="G11" s="390"/>
      <c r="H11" s="390"/>
      <c r="I11" s="390"/>
      <c r="J11" s="390"/>
      <c r="K11" s="390"/>
    </row>
    <row r="13" spans="1:11">
      <c r="B13" s="54" t="s">
        <v>361</v>
      </c>
    </row>
    <row r="14" spans="1:11" ht="39" customHeight="1">
      <c r="B14" s="102" t="s">
        <v>366</v>
      </c>
      <c r="C14" s="388" t="s">
        <v>365</v>
      </c>
      <c r="D14" s="388"/>
      <c r="E14" s="388"/>
      <c r="F14" s="388"/>
      <c r="G14" s="388"/>
      <c r="H14" s="388"/>
      <c r="I14" s="388"/>
      <c r="J14" s="388"/>
      <c r="K14" s="388"/>
    </row>
    <row r="15" spans="1:11">
      <c r="B15" s="102" t="s">
        <v>366</v>
      </c>
      <c r="C15" s="2" t="s">
        <v>362</v>
      </c>
    </row>
    <row r="16" spans="1:11" s="68" customFormat="1" ht="25.5" customHeight="1">
      <c r="B16" s="103" t="s">
        <v>366</v>
      </c>
      <c r="C16" s="392" t="s">
        <v>363</v>
      </c>
      <c r="D16" s="392"/>
      <c r="E16" s="392"/>
      <c r="F16" s="392"/>
      <c r="G16" s="392"/>
      <c r="H16" s="392"/>
      <c r="I16" s="392"/>
      <c r="J16" s="392"/>
      <c r="K16" s="392"/>
    </row>
    <row r="17" spans="2:11">
      <c r="B17" s="102" t="s">
        <v>366</v>
      </c>
      <c r="C17" s="2" t="s">
        <v>364</v>
      </c>
    </row>
    <row r="19" spans="2:11">
      <c r="B19" s="54" t="s">
        <v>367</v>
      </c>
    </row>
    <row r="20" spans="2:11" ht="38.25" customHeight="1">
      <c r="B20" s="102" t="s">
        <v>366</v>
      </c>
      <c r="C20" s="388" t="s">
        <v>369</v>
      </c>
      <c r="D20" s="388"/>
      <c r="E20" s="388"/>
      <c r="F20" s="388"/>
      <c r="G20" s="388"/>
      <c r="H20" s="388"/>
      <c r="I20" s="388"/>
      <c r="J20" s="388"/>
      <c r="K20" s="388"/>
    </row>
    <row r="21" spans="2:11">
      <c r="B21" s="102" t="s">
        <v>366</v>
      </c>
      <c r="C21" s="2" t="s">
        <v>362</v>
      </c>
    </row>
    <row r="22" spans="2:11">
      <c r="B22" s="102" t="s">
        <v>366</v>
      </c>
      <c r="C22" s="2" t="s">
        <v>368</v>
      </c>
    </row>
    <row r="23" spans="2:11">
      <c r="B23" s="102" t="s">
        <v>366</v>
      </c>
      <c r="C23" s="2" t="s">
        <v>512</v>
      </c>
    </row>
    <row r="25" spans="2:11">
      <c r="B25" s="101" t="s">
        <v>370</v>
      </c>
      <c r="C25" s="48"/>
      <c r="D25" s="48"/>
      <c r="E25" s="48"/>
      <c r="F25" s="48"/>
      <c r="G25" s="48"/>
      <c r="H25" s="48"/>
      <c r="I25" s="48"/>
      <c r="J25" s="48"/>
      <c r="K25" s="48"/>
    </row>
    <row r="26" spans="2:11" ht="26.25" customHeight="1">
      <c r="B26" s="436" t="s">
        <v>371</v>
      </c>
      <c r="C26" s="436"/>
      <c r="D26" s="436"/>
      <c r="E26" s="436"/>
      <c r="F26" s="436"/>
      <c r="G26" s="436"/>
      <c r="H26" s="436"/>
      <c r="I26" s="436"/>
      <c r="J26" s="436"/>
      <c r="K26" s="436"/>
    </row>
    <row r="28" spans="2:11" ht="25.5">
      <c r="C28" s="437" t="s">
        <v>372</v>
      </c>
      <c r="D28" s="437"/>
      <c r="E28" s="437"/>
      <c r="F28" s="437"/>
      <c r="G28" s="437"/>
      <c r="H28" s="104" t="s">
        <v>380</v>
      </c>
      <c r="I28" s="104" t="s">
        <v>381</v>
      </c>
    </row>
    <row r="29" spans="2:11" ht="12.75" customHeight="1">
      <c r="C29" s="440" t="s">
        <v>513</v>
      </c>
      <c r="D29" s="440"/>
      <c r="E29" s="440"/>
      <c r="F29" s="440"/>
      <c r="G29" s="440"/>
      <c r="H29" s="81">
        <v>10000</v>
      </c>
      <c r="I29" s="81" t="s">
        <v>373</v>
      </c>
    </row>
    <row r="30" spans="2:11" ht="25.5" customHeight="1">
      <c r="C30" s="440" t="s">
        <v>514</v>
      </c>
      <c r="D30" s="440"/>
      <c r="E30" s="440"/>
      <c r="F30" s="440"/>
      <c r="G30" s="440"/>
      <c r="H30" s="81">
        <v>5000</v>
      </c>
      <c r="I30" s="81" t="s">
        <v>374</v>
      </c>
    </row>
    <row r="31" spans="2:11" ht="26.25" customHeight="1">
      <c r="C31" s="440" t="s">
        <v>515</v>
      </c>
      <c r="D31" s="440"/>
      <c r="E31" s="440"/>
      <c r="F31" s="440"/>
      <c r="G31" s="440"/>
      <c r="H31" s="81">
        <v>1000</v>
      </c>
      <c r="I31" s="81" t="s">
        <v>375</v>
      </c>
    </row>
    <row r="32" spans="2:11" ht="12.75" customHeight="1">
      <c r="C32" s="440" t="s">
        <v>376</v>
      </c>
      <c r="D32" s="440"/>
      <c r="E32" s="440"/>
      <c r="F32" s="440"/>
      <c r="G32" s="440"/>
      <c r="H32" s="81">
        <v>100</v>
      </c>
      <c r="I32" s="81" t="s">
        <v>377</v>
      </c>
    </row>
    <row r="33" spans="2:11" ht="25.5" customHeight="1">
      <c r="C33" s="440" t="s">
        <v>516</v>
      </c>
      <c r="D33" s="440"/>
      <c r="E33" s="440"/>
      <c r="F33" s="440"/>
      <c r="G33" s="440"/>
      <c r="H33" s="81">
        <v>50</v>
      </c>
      <c r="I33" s="81" t="s">
        <v>378</v>
      </c>
    </row>
    <row r="34" spans="2:11" ht="25.5" customHeight="1">
      <c r="C34" s="440" t="s">
        <v>517</v>
      </c>
      <c r="D34" s="440"/>
      <c r="E34" s="440"/>
      <c r="F34" s="440"/>
      <c r="G34" s="440"/>
      <c r="H34" s="81">
        <v>10</v>
      </c>
      <c r="I34" s="81" t="s">
        <v>379</v>
      </c>
    </row>
    <row r="35" spans="2:11" ht="25.5" customHeight="1">
      <c r="C35" s="436" t="s">
        <v>518</v>
      </c>
      <c r="D35" s="436"/>
      <c r="E35" s="436"/>
      <c r="F35" s="436"/>
      <c r="G35" s="436"/>
      <c r="H35" s="436"/>
      <c r="I35" s="436"/>
    </row>
    <row r="37" spans="2:11">
      <c r="B37" s="101" t="s">
        <v>382</v>
      </c>
      <c r="C37" s="101"/>
      <c r="D37" s="101"/>
      <c r="E37" s="101"/>
      <c r="F37" s="101"/>
      <c r="G37" s="101"/>
      <c r="H37" s="101"/>
      <c r="I37" s="101"/>
      <c r="J37" s="101"/>
      <c r="K37" s="101"/>
    </row>
    <row r="38" spans="2:11">
      <c r="B38" s="2" t="s">
        <v>519</v>
      </c>
    </row>
    <row r="40" spans="2:11">
      <c r="C40" s="437" t="s">
        <v>383</v>
      </c>
      <c r="D40" s="437"/>
      <c r="E40" s="437"/>
      <c r="F40" s="437"/>
      <c r="G40" s="63" t="s">
        <v>387</v>
      </c>
    </row>
    <row r="41" spans="2:11">
      <c r="C41" s="438" t="s">
        <v>352</v>
      </c>
      <c r="D41" s="438"/>
      <c r="E41" s="438"/>
      <c r="F41" s="438"/>
      <c r="G41" s="105" t="s">
        <v>46</v>
      </c>
    </row>
    <row r="42" spans="2:11">
      <c r="C42" s="438" t="s">
        <v>384</v>
      </c>
      <c r="D42" s="438"/>
      <c r="E42" s="438"/>
      <c r="F42" s="438"/>
      <c r="G42" s="105" t="s">
        <v>65</v>
      </c>
    </row>
    <row r="43" spans="2:11">
      <c r="C43" s="438" t="s">
        <v>385</v>
      </c>
      <c r="D43" s="438"/>
      <c r="E43" s="438"/>
      <c r="F43" s="438"/>
      <c r="G43" s="105" t="s">
        <v>135</v>
      </c>
    </row>
    <row r="44" spans="2:11">
      <c r="C44" s="438" t="s">
        <v>386</v>
      </c>
      <c r="D44" s="438"/>
      <c r="E44" s="438"/>
      <c r="F44" s="438"/>
      <c r="G44" s="105" t="s">
        <v>52</v>
      </c>
    </row>
    <row r="46" spans="2:11" ht="25.5" customHeight="1">
      <c r="B46" s="399" t="s">
        <v>520</v>
      </c>
      <c r="C46" s="399"/>
      <c r="D46" s="399"/>
      <c r="E46" s="399"/>
      <c r="F46" s="399"/>
      <c r="G46" s="399"/>
      <c r="H46" s="399"/>
      <c r="I46" s="399"/>
      <c r="J46" s="399"/>
      <c r="K46" s="399"/>
    </row>
    <row r="48" spans="2:11">
      <c r="B48" s="101" t="s">
        <v>388</v>
      </c>
      <c r="C48" s="48"/>
      <c r="D48" s="48"/>
      <c r="E48" s="48"/>
      <c r="F48" s="48"/>
      <c r="G48" s="48"/>
      <c r="H48" s="48"/>
      <c r="I48" s="48"/>
      <c r="J48" s="48"/>
      <c r="K48" s="48"/>
    </row>
    <row r="49" spans="2:11">
      <c r="B49" s="2" t="s">
        <v>389</v>
      </c>
    </row>
    <row r="51" spans="2:11">
      <c r="C51" s="439" t="s">
        <v>383</v>
      </c>
      <c r="D51" s="439"/>
      <c r="E51" s="211" t="s">
        <v>387</v>
      </c>
    </row>
    <row r="52" spans="2:11">
      <c r="C52" s="438" t="s">
        <v>390</v>
      </c>
      <c r="D52" s="438"/>
      <c r="E52" s="105">
        <v>0.05</v>
      </c>
    </row>
    <row r="53" spans="2:11">
      <c r="C53" s="438" t="s">
        <v>391</v>
      </c>
      <c r="D53" s="438"/>
      <c r="E53" s="105">
        <v>0.15</v>
      </c>
    </row>
    <row r="54" spans="2:11">
      <c r="C54" s="438" t="s">
        <v>392</v>
      </c>
      <c r="D54" s="438"/>
      <c r="E54" s="105">
        <v>0.5</v>
      </c>
    </row>
    <row r="55" spans="2:11">
      <c r="C55" s="438" t="s">
        <v>393</v>
      </c>
      <c r="D55" s="438"/>
      <c r="E55" s="105">
        <v>1</v>
      </c>
    </row>
    <row r="56" spans="2:11" s="68" customFormat="1" ht="25.5" customHeight="1">
      <c r="C56" s="388" t="s">
        <v>521</v>
      </c>
      <c r="D56" s="388"/>
      <c r="E56" s="388"/>
      <c r="F56" s="388"/>
      <c r="G56" s="388"/>
      <c r="H56" s="388"/>
      <c r="I56" s="388"/>
      <c r="J56" s="388"/>
      <c r="K56" s="388"/>
    </row>
    <row r="57" spans="2:11" ht="38.25" customHeight="1">
      <c r="C57" s="388" t="s">
        <v>522</v>
      </c>
      <c r="D57" s="388"/>
      <c r="E57" s="388"/>
      <c r="F57" s="388"/>
      <c r="G57" s="388"/>
      <c r="H57" s="388"/>
      <c r="I57" s="388"/>
      <c r="J57" s="388"/>
      <c r="K57" s="388"/>
    </row>
    <row r="59" spans="2:11">
      <c r="B59" s="101" t="s">
        <v>394</v>
      </c>
      <c r="C59" s="101"/>
      <c r="D59" s="101"/>
      <c r="E59" s="101"/>
      <c r="F59" s="101"/>
      <c r="G59" s="101"/>
      <c r="H59" s="101"/>
      <c r="I59" s="101"/>
      <c r="J59" s="101"/>
      <c r="K59" s="101"/>
    </row>
    <row r="60" spans="2:11">
      <c r="B60" s="2" t="s">
        <v>519</v>
      </c>
    </row>
    <row r="61" spans="2:11">
      <c r="C61" s="439" t="s">
        <v>398</v>
      </c>
      <c r="D61" s="439"/>
      <c r="E61" s="439"/>
      <c r="F61" s="439"/>
      <c r="G61" s="63" t="s">
        <v>387</v>
      </c>
    </row>
    <row r="62" spans="2:11" ht="25.5" customHeight="1">
      <c r="C62" s="440" t="s">
        <v>395</v>
      </c>
      <c r="D62" s="440"/>
      <c r="E62" s="440"/>
      <c r="F62" s="440"/>
      <c r="G62" s="81" t="s">
        <v>47</v>
      </c>
    </row>
    <row r="63" spans="2:11" ht="39" customHeight="1">
      <c r="C63" s="440" t="s">
        <v>397</v>
      </c>
      <c r="D63" s="440"/>
      <c r="E63" s="440"/>
      <c r="F63" s="440"/>
      <c r="G63" s="81" t="s">
        <v>50</v>
      </c>
    </row>
    <row r="64" spans="2:11" ht="12.6" customHeight="1">
      <c r="C64" s="440" t="s">
        <v>396</v>
      </c>
      <c r="D64" s="440"/>
      <c r="E64" s="440"/>
      <c r="F64" s="440"/>
      <c r="G64" s="81">
        <v>0</v>
      </c>
    </row>
    <row r="65" spans="2:11">
      <c r="C65" s="442" t="s">
        <v>523</v>
      </c>
      <c r="D65" s="442"/>
      <c r="E65" s="442"/>
      <c r="F65" s="442"/>
      <c r="G65" s="442"/>
    </row>
    <row r="66" spans="2:11" ht="25.5" customHeight="1"/>
    <row r="67" spans="2:11">
      <c r="B67" s="101" t="s">
        <v>524</v>
      </c>
      <c r="C67" s="48"/>
      <c r="D67" s="48"/>
      <c r="E67" s="48"/>
      <c r="F67" s="48"/>
      <c r="G67" s="48"/>
      <c r="H67" s="48"/>
      <c r="I67" s="48"/>
      <c r="J67" s="48"/>
      <c r="K67" s="48"/>
    </row>
    <row r="68" spans="2:11">
      <c r="B68" s="406" t="s">
        <v>525</v>
      </c>
      <c r="C68" s="406"/>
      <c r="D68" s="406"/>
      <c r="E68" s="406"/>
      <c r="F68" s="406"/>
      <c r="G68" s="406"/>
      <c r="H68" s="406"/>
      <c r="I68" s="406"/>
      <c r="J68" s="406"/>
      <c r="K68" s="406"/>
    </row>
    <row r="70" spans="2:11">
      <c r="C70" s="441" t="s">
        <v>526</v>
      </c>
      <c r="D70" s="441"/>
      <c r="E70" s="441"/>
      <c r="F70" s="441" t="s">
        <v>34</v>
      </c>
      <c r="G70" s="441"/>
      <c r="H70" s="441"/>
      <c r="I70" s="441" t="s">
        <v>35</v>
      </c>
      <c r="J70" s="441"/>
      <c r="K70" s="441"/>
    </row>
    <row r="71" spans="2:11">
      <c r="C71" s="212" t="s">
        <v>527</v>
      </c>
      <c r="D71" s="212" t="s">
        <v>528</v>
      </c>
      <c r="E71" s="212" t="s">
        <v>529</v>
      </c>
      <c r="F71" s="212" t="s">
        <v>530</v>
      </c>
      <c r="G71" s="212" t="s">
        <v>531</v>
      </c>
      <c r="H71" s="212" t="s">
        <v>532</v>
      </c>
      <c r="I71" s="212" t="s">
        <v>42</v>
      </c>
      <c r="J71" s="212" t="s">
        <v>214</v>
      </c>
      <c r="K71" s="212" t="s">
        <v>218</v>
      </c>
    </row>
    <row r="72" spans="2:11">
      <c r="C72" s="212" t="s">
        <v>533</v>
      </c>
      <c r="D72" s="212" t="s">
        <v>534</v>
      </c>
      <c r="E72" s="212">
        <v>1E-4</v>
      </c>
      <c r="F72" s="212"/>
      <c r="G72" s="212"/>
      <c r="H72" s="212">
        <v>1E-4</v>
      </c>
      <c r="I72" s="212">
        <v>1</v>
      </c>
      <c r="J72" s="212" t="s">
        <v>135</v>
      </c>
      <c r="K72" s="212" t="s">
        <v>47</v>
      </c>
    </row>
    <row r="73" spans="2:11">
      <c r="B73" s="2" t="s">
        <v>535</v>
      </c>
    </row>
  </sheetData>
  <sheetProtection algorithmName="SHA-512" hashValue="4sfDztwwLC7PwKHlzrlRRFgj3ZVscud3qumTR/VzMMd7Bne+IARIFFjqMA+JxKa3c49QlSA0drX00n8Zm1240w==" saltValue="qavC8JqZUtWvi33hmaIB/A==" spinCount="100000" sheet="1" selectLockedCells="1" selectUnlockedCells="1"/>
  <mergeCells count="36">
    <mergeCell ref="B68:K68"/>
    <mergeCell ref="C70:E70"/>
    <mergeCell ref="F70:H70"/>
    <mergeCell ref="I70:K70"/>
    <mergeCell ref="C61:F61"/>
    <mergeCell ref="C62:F62"/>
    <mergeCell ref="C63:F63"/>
    <mergeCell ref="C64:F64"/>
    <mergeCell ref="C65:G65"/>
    <mergeCell ref="C35:I35"/>
    <mergeCell ref="C44:F44"/>
    <mergeCell ref="C33:G33"/>
    <mergeCell ref="C34:G34"/>
    <mergeCell ref="C28:G28"/>
    <mergeCell ref="C29:G29"/>
    <mergeCell ref="C30:G30"/>
    <mergeCell ref="C31:G31"/>
    <mergeCell ref="C32:G32"/>
    <mergeCell ref="C56:K56"/>
    <mergeCell ref="C57:K57"/>
    <mergeCell ref="B46:K46"/>
    <mergeCell ref="C40:F40"/>
    <mergeCell ref="C41:F41"/>
    <mergeCell ref="C42:F42"/>
    <mergeCell ref="C43:F43"/>
    <mergeCell ref="C51:D51"/>
    <mergeCell ref="C52:D52"/>
    <mergeCell ref="C53:D53"/>
    <mergeCell ref="C54:D54"/>
    <mergeCell ref="C55:D55"/>
    <mergeCell ref="B5:K6"/>
    <mergeCell ref="B11:K11"/>
    <mergeCell ref="B26:K26"/>
    <mergeCell ref="C20:K20"/>
    <mergeCell ref="C14:K14"/>
    <mergeCell ref="C16:K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2:E72"/>
  <sheetViews>
    <sheetView zoomScaleNormal="100" workbookViewId="0">
      <selection activeCell="B3" sqref="B3"/>
    </sheetView>
  </sheetViews>
  <sheetFormatPr defaultColWidth="11.42578125" defaultRowHeight="12.75"/>
  <cols>
    <col min="1" max="1" width="16.85546875" style="162" customWidth="1"/>
    <col min="2" max="2" width="56" customWidth="1"/>
    <col min="3" max="3" width="12.7109375" bestFit="1" customWidth="1"/>
    <col min="8" max="8" width="68.140625" bestFit="1" customWidth="1"/>
  </cols>
  <sheetData>
    <row r="2" spans="1:5">
      <c r="C2" t="s">
        <v>232</v>
      </c>
      <c r="D2" t="s">
        <v>233</v>
      </c>
      <c r="E2" t="s">
        <v>234</v>
      </c>
    </row>
    <row r="3" spans="1:5">
      <c r="A3" s="443" t="s">
        <v>25</v>
      </c>
      <c r="B3" t="s">
        <v>467</v>
      </c>
      <c r="C3">
        <v>12000</v>
      </c>
      <c r="D3">
        <v>15</v>
      </c>
      <c r="E3">
        <v>15</v>
      </c>
    </row>
    <row r="4" spans="1:5">
      <c r="A4" s="443"/>
    </row>
    <row r="5" spans="1:5">
      <c r="A5" s="443"/>
    </row>
    <row r="6" spans="1:5">
      <c r="A6" s="443"/>
    </row>
    <row r="7" spans="1:5">
      <c r="A7" s="443"/>
    </row>
    <row r="8" spans="1:5">
      <c r="A8" s="443"/>
    </row>
    <row r="9" spans="1:5">
      <c r="A9" s="443"/>
    </row>
    <row r="10" spans="1:5">
      <c r="A10" s="443"/>
    </row>
    <row r="11" spans="1:5">
      <c r="A11" s="443"/>
    </row>
    <row r="12" spans="1:5">
      <c r="A12" s="443"/>
    </row>
    <row r="13" spans="1:5">
      <c r="A13" s="443"/>
    </row>
    <row r="15" spans="1:5">
      <c r="A15" s="444" t="s">
        <v>28</v>
      </c>
      <c r="B15" t="s">
        <v>26</v>
      </c>
    </row>
    <row r="16" spans="1:5">
      <c r="A16" s="444"/>
      <c r="B16" t="s">
        <v>256</v>
      </c>
    </row>
    <row r="17" spans="1:2">
      <c r="A17" s="444"/>
      <c r="B17" t="s">
        <v>255</v>
      </c>
    </row>
    <row r="18" spans="1:2">
      <c r="A18" s="444"/>
      <c r="B18" t="s">
        <v>254</v>
      </c>
    </row>
    <row r="19" spans="1:2">
      <c r="A19" s="444"/>
      <c r="B19" t="s">
        <v>431</v>
      </c>
    </row>
    <row r="20" spans="1:2">
      <c r="A20" s="444"/>
      <c r="B20" t="s">
        <v>433</v>
      </c>
    </row>
    <row r="21" spans="1:2">
      <c r="A21" s="444"/>
      <c r="B21" t="s">
        <v>432</v>
      </c>
    </row>
    <row r="22" spans="1:2">
      <c r="A22" s="444"/>
      <c r="B22" t="s">
        <v>220</v>
      </c>
    </row>
    <row r="23" spans="1:2">
      <c r="A23" s="444"/>
    </row>
    <row r="25" spans="1:2">
      <c r="A25" s="444" t="s">
        <v>31</v>
      </c>
      <c r="B25" t="s">
        <v>29</v>
      </c>
    </row>
    <row r="26" spans="1:2">
      <c r="A26" s="444"/>
      <c r="B26" t="s">
        <v>30</v>
      </c>
    </row>
    <row r="27" spans="1:2">
      <c r="A27" s="444"/>
    </row>
    <row r="28" spans="1:2">
      <c r="A28" s="444"/>
    </row>
    <row r="30" spans="1:2">
      <c r="A30" s="444" t="s">
        <v>252</v>
      </c>
      <c r="B30" t="s">
        <v>249</v>
      </c>
    </row>
    <row r="31" spans="1:2">
      <c r="A31" s="444"/>
      <c r="B31" t="s">
        <v>250</v>
      </c>
    </row>
    <row r="32" spans="1:2">
      <c r="A32" s="444"/>
      <c r="B32" t="s">
        <v>251</v>
      </c>
    </row>
    <row r="34" spans="1:2">
      <c r="A34" s="444"/>
      <c r="B34" t="s">
        <v>294</v>
      </c>
    </row>
    <row r="35" spans="1:2">
      <c r="A35" s="444"/>
      <c r="B35" t="s">
        <v>295</v>
      </c>
    </row>
    <row r="36" spans="1:2">
      <c r="A36" s="444"/>
    </row>
    <row r="38" spans="1:2">
      <c r="A38" s="444" t="s">
        <v>22</v>
      </c>
      <c r="B38" t="s">
        <v>306</v>
      </c>
    </row>
    <row r="39" spans="1:2">
      <c r="A39" s="444"/>
      <c r="B39" t="s">
        <v>307</v>
      </c>
    </row>
    <row r="41" spans="1:2">
      <c r="A41" s="443" t="s">
        <v>309</v>
      </c>
      <c r="B41" t="s">
        <v>310</v>
      </c>
    </row>
    <row r="42" spans="1:2">
      <c r="A42" s="443"/>
      <c r="B42" t="s">
        <v>311</v>
      </c>
    </row>
    <row r="43" spans="1:2">
      <c r="A43" s="443"/>
      <c r="B43" t="s">
        <v>312</v>
      </c>
    </row>
    <row r="45" spans="1:2">
      <c r="A45" s="444" t="s">
        <v>353</v>
      </c>
      <c r="B45" t="s">
        <v>354</v>
      </c>
    </row>
    <row r="46" spans="1:2">
      <c r="A46" s="444"/>
      <c r="B46" t="s">
        <v>435</v>
      </c>
    </row>
    <row r="48" spans="1:2">
      <c r="A48" s="444" t="s">
        <v>42</v>
      </c>
      <c r="B48">
        <v>0.05</v>
      </c>
    </row>
    <row r="49" spans="1:2">
      <c r="A49" s="444"/>
      <c r="B49">
        <v>0.15</v>
      </c>
    </row>
    <row r="50" spans="1:2">
      <c r="A50" s="444"/>
      <c r="B50">
        <v>0.5</v>
      </c>
    </row>
    <row r="51" spans="1:2">
      <c r="A51" s="444"/>
      <c r="B51">
        <v>1</v>
      </c>
    </row>
    <row r="53" spans="1:2">
      <c r="A53" s="443" t="s">
        <v>460</v>
      </c>
      <c r="B53" t="s">
        <v>437</v>
      </c>
    </row>
    <row r="54" spans="1:2">
      <c r="A54" s="443"/>
      <c r="B54" t="s">
        <v>440</v>
      </c>
    </row>
    <row r="55" spans="1:2">
      <c r="A55" s="443"/>
      <c r="B55" t="s">
        <v>439</v>
      </c>
    </row>
    <row r="56" spans="1:2">
      <c r="A56" s="443"/>
      <c r="B56" t="s">
        <v>441</v>
      </c>
    </row>
    <row r="57" spans="1:2">
      <c r="A57" s="443"/>
      <c r="B57" t="s">
        <v>459</v>
      </c>
    </row>
    <row r="58" spans="1:2">
      <c r="A58" s="443"/>
      <c r="B58" t="s">
        <v>438</v>
      </c>
    </row>
    <row r="59" spans="1:2">
      <c r="A59" s="443"/>
      <c r="B59" t="s">
        <v>458</v>
      </c>
    </row>
    <row r="60" spans="1:2">
      <c r="A60" s="443"/>
      <c r="B60" t="s">
        <v>462</v>
      </c>
    </row>
    <row r="61" spans="1:2">
      <c r="A61" s="199"/>
    </row>
    <row r="62" spans="1:2">
      <c r="A62" s="443" t="s">
        <v>461</v>
      </c>
      <c r="B62" t="s">
        <v>438</v>
      </c>
    </row>
    <row r="63" spans="1:2">
      <c r="A63" s="443"/>
    </row>
    <row r="64" spans="1:2">
      <c r="A64" s="443"/>
    </row>
    <row r="65" spans="1:1">
      <c r="A65" s="443"/>
    </row>
    <row r="66" spans="1:1">
      <c r="A66" s="443"/>
    </row>
    <row r="67" spans="1:1">
      <c r="A67" s="443"/>
    </row>
    <row r="68" spans="1:1">
      <c r="A68" s="199"/>
    </row>
    <row r="69" spans="1:1">
      <c r="A69" s="199"/>
    </row>
    <row r="70" spans="1:1">
      <c r="A70" s="199"/>
    </row>
    <row r="71" spans="1:1">
      <c r="A71" s="199"/>
    </row>
    <row r="72" spans="1:1">
      <c r="A72" s="199"/>
    </row>
  </sheetData>
  <sheetProtection algorithmName="SHA-512" hashValue="JQVSNQ5cPIpR/NY5d48IBclRTVj7iyxbtivuuUkwKIKoFKtUp1geqDVv2jTtUUvzg0xn7yOjgB4vQxUpr2yZ+Q==" saltValue="7px2v6Q8J/o+nV8lx4wxDw==" spinCount="100000" sheet="1" selectLockedCells="1" selectUnlockedCells="1"/>
  <sortState xmlns:xlrd2="http://schemas.microsoft.com/office/spreadsheetml/2017/richdata2" ref="B53:I63">
    <sortCondition ref="I53:I63"/>
  </sortState>
  <mergeCells count="11">
    <mergeCell ref="A62:A67"/>
    <mergeCell ref="A3:A13"/>
    <mergeCell ref="A25:A28"/>
    <mergeCell ref="A15:A23"/>
    <mergeCell ref="A30:A32"/>
    <mergeCell ref="A34:A36"/>
    <mergeCell ref="A48:A51"/>
    <mergeCell ref="A45:A46"/>
    <mergeCell ref="A41:A43"/>
    <mergeCell ref="A38:A39"/>
    <mergeCell ref="A53:A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dimension ref="A1:H44"/>
  <sheetViews>
    <sheetView zoomScaleNormal="100" workbookViewId="0">
      <selection activeCell="E9" sqref="E9"/>
    </sheetView>
  </sheetViews>
  <sheetFormatPr defaultColWidth="11.42578125" defaultRowHeight="12.75"/>
  <cols>
    <col min="1" max="1" width="5.42578125" style="2" customWidth="1"/>
    <col min="2" max="2" width="30.7109375" style="2" customWidth="1"/>
    <col min="3" max="3" width="25.7109375" style="2" customWidth="1"/>
    <col min="4" max="5" width="20.7109375" style="2" customWidth="1"/>
    <col min="6" max="7" width="14.7109375" style="2" customWidth="1"/>
    <col min="8" max="8" width="22.85546875" style="2" customWidth="1"/>
    <col min="9" max="16384" width="11.42578125" style="2"/>
  </cols>
  <sheetData>
    <row r="1" spans="1:8" ht="20.25" customHeight="1">
      <c r="B1" s="93" t="s">
        <v>8</v>
      </c>
      <c r="C1" s="94" t="s">
        <v>426</v>
      </c>
    </row>
    <row r="2" spans="1:8" ht="12.75" customHeight="1">
      <c r="B2" s="95" t="s">
        <v>229</v>
      </c>
      <c r="C2" s="301" t="str">
        <f>IF(Confirmation!D3="","",Confirmation!D3)</f>
        <v/>
      </c>
      <c r="D2" s="301"/>
    </row>
    <row r="3" spans="1:8">
      <c r="B3" s="96" t="s">
        <v>9</v>
      </c>
      <c r="C3" s="301" t="str">
        <f>IF(Confirmation!D5="","",Confirmation!D5)</f>
        <v>Rinse-off product</v>
      </c>
      <c r="D3" s="301"/>
    </row>
    <row r="4" spans="1:8" ht="12.75" customHeight="1">
      <c r="B4" s="97" t="s">
        <v>257</v>
      </c>
      <c r="C4" s="301" t="str">
        <f>IF(Confirmation!D6="","",Confirmation!D6)</f>
        <v>Animal care product</v>
      </c>
      <c r="D4" s="301"/>
    </row>
    <row r="6" spans="1:8" s="1" customFormat="1" ht="25.5">
      <c r="A6" s="4"/>
      <c r="B6" s="320" t="s">
        <v>302</v>
      </c>
      <c r="C6" s="320" t="s">
        <v>0</v>
      </c>
      <c r="D6" s="160" t="s">
        <v>1</v>
      </c>
      <c r="E6" s="160" t="s">
        <v>6</v>
      </c>
      <c r="F6" s="320" t="s">
        <v>3</v>
      </c>
      <c r="G6" s="320" t="s">
        <v>4</v>
      </c>
      <c r="H6" s="320" t="s">
        <v>5</v>
      </c>
    </row>
    <row r="7" spans="1:8" s="1" customFormat="1" ht="25.5">
      <c r="A7" s="4"/>
      <c r="B7" s="320"/>
      <c r="C7" s="320"/>
      <c r="D7" s="161" t="s">
        <v>2</v>
      </c>
      <c r="E7" s="161" t="s">
        <v>7</v>
      </c>
      <c r="F7" s="320"/>
      <c r="G7" s="320"/>
      <c r="H7" s="320"/>
    </row>
    <row r="8" spans="1:8">
      <c r="A8" s="5">
        <v>1</v>
      </c>
      <c r="B8" s="8" t="s">
        <v>11</v>
      </c>
      <c r="C8" s="8"/>
      <c r="D8" s="131"/>
      <c r="E8" s="130"/>
      <c r="F8" s="131"/>
      <c r="G8" s="131"/>
      <c r="H8" s="131"/>
    </row>
    <row r="9" spans="1:8">
      <c r="A9" s="5">
        <v>2</v>
      </c>
      <c r="B9" s="9"/>
      <c r="C9" s="9"/>
      <c r="D9" s="129"/>
      <c r="E9" s="145"/>
      <c r="F9" s="130"/>
      <c r="G9" s="130"/>
      <c r="H9" s="130"/>
    </row>
    <row r="10" spans="1:8">
      <c r="A10" s="5">
        <v>3</v>
      </c>
      <c r="B10" s="9"/>
      <c r="C10" s="9" t="s">
        <v>427</v>
      </c>
      <c r="D10" s="129"/>
      <c r="E10" s="145"/>
      <c r="F10" s="130"/>
      <c r="G10" s="130"/>
      <c r="H10" s="130"/>
    </row>
    <row r="11" spans="1:8">
      <c r="A11" s="5">
        <v>4</v>
      </c>
      <c r="B11" s="9"/>
      <c r="C11" s="9"/>
      <c r="D11" s="129"/>
      <c r="E11" s="145"/>
      <c r="F11" s="130"/>
      <c r="G11" s="130"/>
      <c r="H11" s="130"/>
    </row>
    <row r="12" spans="1:8">
      <c r="A12" s="5">
        <v>5</v>
      </c>
      <c r="B12" s="9"/>
      <c r="C12" s="9"/>
      <c r="D12" s="129"/>
      <c r="E12" s="145"/>
      <c r="F12" s="130"/>
      <c r="G12" s="130"/>
      <c r="H12" s="130"/>
    </row>
    <row r="13" spans="1:8">
      <c r="A13" s="5">
        <v>6</v>
      </c>
      <c r="B13" s="9"/>
      <c r="C13" s="9"/>
      <c r="D13" s="9"/>
      <c r="E13" s="145"/>
      <c r="F13" s="130"/>
      <c r="G13" s="130"/>
      <c r="H13" s="130"/>
    </row>
    <row r="14" spans="1:8">
      <c r="A14" s="5">
        <v>7</v>
      </c>
      <c r="B14" s="9"/>
      <c r="C14" s="9"/>
      <c r="D14" s="129"/>
      <c r="E14" s="145"/>
      <c r="F14" s="130"/>
      <c r="G14" s="130"/>
      <c r="H14" s="130"/>
    </row>
    <row r="15" spans="1:8">
      <c r="A15" s="5">
        <v>8</v>
      </c>
      <c r="B15" s="9"/>
      <c r="C15" s="9"/>
      <c r="D15" s="129"/>
      <c r="E15" s="145"/>
      <c r="F15" s="130"/>
      <c r="G15" s="130"/>
      <c r="H15" s="130"/>
    </row>
    <row r="16" spans="1:8">
      <c r="A16" s="5">
        <v>9</v>
      </c>
      <c r="B16" s="9"/>
      <c r="C16" s="9"/>
      <c r="D16" s="129"/>
      <c r="E16" s="145"/>
      <c r="F16" s="130"/>
      <c r="G16" s="130"/>
      <c r="H16" s="130"/>
    </row>
    <row r="17" spans="1:8">
      <c r="A17" s="5">
        <v>10</v>
      </c>
      <c r="B17" s="9"/>
      <c r="C17" s="9"/>
      <c r="D17" s="129"/>
      <c r="E17" s="145"/>
      <c r="F17" s="130"/>
      <c r="G17" s="130"/>
      <c r="H17" s="130"/>
    </row>
    <row r="18" spans="1:8">
      <c r="A18" s="5">
        <v>11</v>
      </c>
      <c r="B18" s="9"/>
      <c r="C18" s="9"/>
      <c r="D18" s="129"/>
      <c r="E18" s="145"/>
      <c r="F18" s="130"/>
      <c r="G18" s="130"/>
      <c r="H18" s="130"/>
    </row>
    <row r="19" spans="1:8">
      <c r="A19" s="5">
        <v>12</v>
      </c>
      <c r="B19" s="9"/>
      <c r="C19" s="9"/>
      <c r="D19" s="129"/>
      <c r="E19" s="145"/>
      <c r="F19" s="130"/>
      <c r="G19" s="130"/>
      <c r="H19" s="130"/>
    </row>
    <row r="20" spans="1:8">
      <c r="A20" s="5">
        <v>13</v>
      </c>
      <c r="B20" s="9"/>
      <c r="C20" s="9"/>
      <c r="D20" s="129"/>
      <c r="E20" s="145"/>
      <c r="F20" s="130"/>
      <c r="G20" s="130"/>
      <c r="H20" s="130"/>
    </row>
    <row r="21" spans="1:8">
      <c r="A21" s="5">
        <v>14</v>
      </c>
      <c r="B21" s="9"/>
      <c r="C21" s="9"/>
      <c r="D21" s="129"/>
      <c r="E21" s="145"/>
      <c r="F21" s="130"/>
      <c r="G21" s="130"/>
      <c r="H21" s="130"/>
    </row>
    <row r="22" spans="1:8">
      <c r="A22" s="5">
        <v>15</v>
      </c>
      <c r="B22" s="9"/>
      <c r="C22" s="9"/>
      <c r="D22" s="129"/>
      <c r="E22" s="145"/>
      <c r="F22" s="130"/>
      <c r="G22" s="130"/>
      <c r="H22" s="130"/>
    </row>
    <row r="23" spans="1:8">
      <c r="A23" s="5">
        <v>16</v>
      </c>
      <c r="B23" s="9"/>
      <c r="C23" s="9"/>
      <c r="D23" s="129"/>
      <c r="E23" s="145"/>
      <c r="F23" s="130"/>
      <c r="G23" s="130"/>
      <c r="H23" s="130"/>
    </row>
    <row r="24" spans="1:8">
      <c r="A24" s="5">
        <v>17</v>
      </c>
      <c r="B24" s="9"/>
      <c r="C24" s="9"/>
      <c r="D24" s="129"/>
      <c r="E24" s="145"/>
      <c r="F24" s="130"/>
      <c r="G24" s="130"/>
      <c r="H24" s="130"/>
    </row>
    <row r="25" spans="1:8">
      <c r="A25" s="5">
        <v>18</v>
      </c>
      <c r="B25" s="9"/>
      <c r="C25" s="9"/>
      <c r="D25" s="129"/>
      <c r="E25" s="145"/>
      <c r="F25" s="130"/>
      <c r="G25" s="130"/>
      <c r="H25" s="130"/>
    </row>
    <row r="26" spans="1:8">
      <c r="A26" s="5">
        <v>19</v>
      </c>
      <c r="B26" s="9"/>
      <c r="C26" s="9"/>
      <c r="D26" s="129"/>
      <c r="E26" s="145"/>
      <c r="F26" s="130"/>
      <c r="G26" s="130"/>
      <c r="H26" s="130"/>
    </row>
    <row r="27" spans="1:8">
      <c r="A27" s="5">
        <v>20</v>
      </c>
      <c r="B27" s="9"/>
      <c r="C27" s="9"/>
      <c r="D27" s="129"/>
      <c r="E27" s="145"/>
      <c r="F27" s="130"/>
      <c r="G27" s="130"/>
      <c r="H27" s="130"/>
    </row>
    <row r="28" spans="1:8">
      <c r="A28" s="5">
        <v>21</v>
      </c>
      <c r="B28" s="9"/>
      <c r="C28" s="9"/>
      <c r="D28" s="129"/>
      <c r="E28" s="145"/>
      <c r="F28" s="130"/>
      <c r="G28" s="130"/>
      <c r="H28" s="130"/>
    </row>
    <row r="29" spans="1:8">
      <c r="A29" s="5">
        <v>22</v>
      </c>
      <c r="B29" s="9"/>
      <c r="C29" s="9"/>
      <c r="D29" s="129"/>
      <c r="E29" s="145"/>
      <c r="F29" s="130"/>
      <c r="G29" s="130"/>
      <c r="H29" s="130"/>
    </row>
    <row r="30" spans="1:8">
      <c r="A30" s="5">
        <v>23</v>
      </c>
      <c r="B30" s="9"/>
      <c r="C30" s="9"/>
      <c r="D30" s="129"/>
      <c r="E30" s="145"/>
      <c r="F30" s="130"/>
      <c r="G30" s="130"/>
      <c r="H30" s="130"/>
    </row>
    <row r="31" spans="1:8">
      <c r="A31" s="5">
        <v>24</v>
      </c>
      <c r="B31" s="9"/>
      <c r="C31" s="9"/>
      <c r="D31" s="129"/>
      <c r="E31" s="145"/>
      <c r="F31" s="130"/>
      <c r="G31" s="130"/>
      <c r="H31" s="130"/>
    </row>
    <row r="32" spans="1:8">
      <c r="A32" s="5">
        <v>25</v>
      </c>
      <c r="B32" s="9"/>
      <c r="C32" s="9"/>
      <c r="D32" s="129"/>
      <c r="E32" s="145"/>
      <c r="F32" s="130"/>
      <c r="G32" s="130"/>
      <c r="H32" s="130"/>
    </row>
    <row r="33" spans="1:8">
      <c r="A33" s="5">
        <v>26</v>
      </c>
      <c r="B33" s="9"/>
      <c r="C33" s="9"/>
      <c r="D33" s="129"/>
      <c r="E33" s="145"/>
      <c r="F33" s="130"/>
      <c r="G33" s="130"/>
      <c r="H33" s="130"/>
    </row>
    <row r="34" spans="1:8">
      <c r="A34" s="5">
        <v>27</v>
      </c>
      <c r="B34" s="9"/>
      <c r="C34" s="9"/>
      <c r="D34" s="129"/>
      <c r="E34" s="145"/>
      <c r="F34" s="130"/>
      <c r="G34" s="130"/>
      <c r="H34" s="130"/>
    </row>
    <row r="35" spans="1:8">
      <c r="A35" s="5">
        <v>28</v>
      </c>
      <c r="B35" s="9"/>
      <c r="C35" s="9"/>
      <c r="D35" s="129"/>
      <c r="E35" s="145"/>
      <c r="F35" s="130"/>
      <c r="G35" s="130"/>
      <c r="H35" s="130"/>
    </row>
    <row r="36" spans="1:8">
      <c r="A36" s="5">
        <v>29</v>
      </c>
      <c r="B36" s="9"/>
      <c r="C36" s="9"/>
      <c r="D36" s="129"/>
      <c r="E36" s="145"/>
      <c r="F36" s="130"/>
      <c r="G36" s="130"/>
      <c r="H36" s="130"/>
    </row>
    <row r="37" spans="1:8" ht="13.5" thickBot="1">
      <c r="A37" s="5">
        <v>30</v>
      </c>
      <c r="B37" s="9"/>
      <c r="C37" s="9"/>
      <c r="D37" s="129"/>
      <c r="E37" s="146"/>
      <c r="F37" s="130"/>
      <c r="G37" s="130"/>
      <c r="H37" s="130"/>
    </row>
    <row r="38" spans="1:8" s="3" customFormat="1" ht="18.75" thickBot="1">
      <c r="B38" s="3" t="s">
        <v>27</v>
      </c>
      <c r="E38" s="147">
        <f>SUM(E8:E37)</f>
        <v>0</v>
      </c>
    </row>
    <row r="40" spans="1:8">
      <c r="B40" s="2" t="s">
        <v>410</v>
      </c>
    </row>
    <row r="41" spans="1:8">
      <c r="B41" s="311"/>
      <c r="C41" s="312"/>
      <c r="D41" s="312"/>
      <c r="E41" s="312"/>
      <c r="F41" s="312"/>
      <c r="G41" s="312"/>
      <c r="H41" s="313"/>
    </row>
    <row r="42" spans="1:8">
      <c r="B42" s="314"/>
      <c r="C42" s="315"/>
      <c r="D42" s="315"/>
      <c r="E42" s="315"/>
      <c r="F42" s="315"/>
      <c r="G42" s="315"/>
      <c r="H42" s="316"/>
    </row>
    <row r="43" spans="1:8">
      <c r="B43" s="314"/>
      <c r="C43" s="315"/>
      <c r="D43" s="315"/>
      <c r="E43" s="315"/>
      <c r="F43" s="315"/>
      <c r="G43" s="315"/>
      <c r="H43" s="316"/>
    </row>
    <row r="44" spans="1:8">
      <c r="B44" s="317"/>
      <c r="C44" s="318"/>
      <c r="D44" s="318"/>
      <c r="E44" s="318"/>
      <c r="F44" s="318"/>
      <c r="G44" s="318"/>
      <c r="H44" s="319"/>
    </row>
  </sheetData>
  <sheetProtection algorithmName="SHA-512" hashValue="dRhrOkugvnUDI20pn3CAyxj8iQIEUOb8ARSTJp3WYTsyWoQTYZwxEoVm71P0GMejTqf2iNUXD/zBNCem3RbViw==" saltValue="GSEQbdw7NpQHwuZoWlKTFA==" spinCount="100000" sheet="1" selectLockedCells="1"/>
  <autoFilter ref="B6:B38" xr:uid="{00000000-0009-0000-0000-000001000000}"/>
  <mergeCells count="9">
    <mergeCell ref="C2:D2"/>
    <mergeCell ref="C3:D3"/>
    <mergeCell ref="C4:D4"/>
    <mergeCell ref="B41:H44"/>
    <mergeCell ref="G6:G7"/>
    <mergeCell ref="H6:H7"/>
    <mergeCell ref="B6:B7"/>
    <mergeCell ref="C6:C7"/>
    <mergeCell ref="F6:F7"/>
  </mergeCells>
  <conditionalFormatting sqref="C9:H37">
    <cfRule type="expression" dxfId="72" priority="3">
      <formula>ISBLANK($B9)</formula>
    </cfRule>
  </conditionalFormatting>
  <conditionalFormatting sqref="F9:G37">
    <cfRule type="containsText" dxfId="71" priority="1" operator="containsText" text="No">
      <formula>NOT(ISERROR(SEARCH("No",F9)))</formula>
    </cfRule>
    <cfRule type="containsText" dxfId="70" priority="2" operator="containsText" text="Yes">
      <formula>NOT(ISERROR(SEARCH("Yes",F9)))</formula>
    </cfRule>
  </conditionalFormatting>
  <dataValidations count="1">
    <dataValidation type="list" allowBlank="1" showInputMessage="1" showErrorMessage="1" sqref="F9:G37" xr:uid="{00000000-0002-0000-0100-000000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Hoja2!$B$15:$B$23</xm:f>
          </x14:formula1>
          <xm:sqref>D9:D37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AC66"/>
  <sheetViews>
    <sheetView showZeros="0" zoomScaleNormal="100" workbookViewId="0">
      <selection activeCell="M10" sqref="M10"/>
    </sheetView>
  </sheetViews>
  <sheetFormatPr defaultColWidth="11.42578125" defaultRowHeight="12.75"/>
  <cols>
    <col min="1" max="1" width="5.42578125" style="2" customWidth="1"/>
    <col min="2" max="2" width="30.7109375" style="2" customWidth="1"/>
    <col min="3" max="3" width="20.28515625" style="2" bestFit="1" customWidth="1"/>
    <col min="4" max="4" width="4.85546875" style="2" hidden="1" customWidth="1"/>
    <col min="5" max="5" width="13.85546875" style="2" bestFit="1" customWidth="1"/>
    <col min="6" max="6" width="13.140625" style="2" hidden="1" customWidth="1"/>
    <col min="7" max="7" width="20.7109375" style="2" customWidth="1"/>
    <col min="8" max="8" width="13.140625" style="2" bestFit="1" customWidth="1"/>
    <col min="9" max="12" width="2.28515625" style="2" hidden="1" customWidth="1"/>
    <col min="13" max="13" width="17" style="204" customWidth="1"/>
    <col min="14" max="14" width="23" style="2" customWidth="1"/>
    <col min="15" max="18" width="6.42578125" style="2" hidden="1" customWidth="1"/>
    <col min="19" max="19" width="23" style="2" customWidth="1"/>
    <col min="20" max="21" width="15.42578125" style="2" customWidth="1"/>
    <col min="22" max="23" width="13" style="2" customWidth="1"/>
    <col min="24" max="24" width="2.42578125" style="2" customWidth="1"/>
    <col min="25" max="27" width="11.42578125" style="2"/>
    <col min="28" max="28" width="11.42578125" style="2" hidden="1" customWidth="1"/>
    <col min="29" max="16384" width="11.42578125" style="2"/>
  </cols>
  <sheetData>
    <row r="1" spans="1:28">
      <c r="B1" s="321" t="s">
        <v>356</v>
      </c>
      <c r="C1" s="322"/>
      <c r="D1" s="322"/>
      <c r="E1" s="323"/>
    </row>
    <row r="2" spans="1:28">
      <c r="B2" s="96" t="s">
        <v>229</v>
      </c>
      <c r="C2" s="301" t="str">
        <f>'Product formulation'!C2</f>
        <v/>
      </c>
      <c r="D2" s="326"/>
      <c r="E2" s="301"/>
    </row>
    <row r="3" spans="1:28">
      <c r="B3" s="96" t="s">
        <v>9</v>
      </c>
      <c r="C3" s="301" t="str">
        <f>'Product formulation'!C3</f>
        <v>Rinse-off product</v>
      </c>
      <c r="D3" s="327"/>
      <c r="E3" s="301"/>
    </row>
    <row r="4" spans="1:28">
      <c r="B4" s="97" t="s">
        <v>257</v>
      </c>
      <c r="C4" s="301" t="str">
        <f>'Product formulation'!C4</f>
        <v>Animal care product</v>
      </c>
      <c r="D4" s="328"/>
      <c r="E4" s="301"/>
    </row>
    <row r="6" spans="1:28" s="132" customFormat="1" ht="15.75">
      <c r="A6" s="132" t="s">
        <v>300</v>
      </c>
      <c r="M6" s="205"/>
    </row>
    <row r="8" spans="1:28" s="1" customFormat="1" ht="40.5" customHeight="1">
      <c r="A8" s="4"/>
      <c r="B8" s="320" t="s">
        <v>12</v>
      </c>
      <c r="C8" s="128" t="s">
        <v>13</v>
      </c>
      <c r="D8" s="128"/>
      <c r="E8" s="128" t="s">
        <v>15</v>
      </c>
      <c r="F8" s="128" t="s">
        <v>17</v>
      </c>
      <c r="G8" s="324" t="s">
        <v>303</v>
      </c>
      <c r="H8" s="128" t="s">
        <v>1</v>
      </c>
      <c r="I8" s="128"/>
      <c r="J8" s="128"/>
      <c r="K8" s="128"/>
      <c r="L8" s="128"/>
      <c r="M8" s="206" t="s">
        <v>17</v>
      </c>
      <c r="N8" s="128" t="s">
        <v>5</v>
      </c>
      <c r="O8" s="128"/>
      <c r="P8" s="128"/>
      <c r="Q8" s="128"/>
      <c r="R8" s="128"/>
      <c r="S8" s="128" t="s">
        <v>19</v>
      </c>
      <c r="T8" s="128" t="s">
        <v>20</v>
      </c>
      <c r="U8" s="320" t="s">
        <v>21</v>
      </c>
      <c r="V8" s="128" t="s">
        <v>23</v>
      </c>
      <c r="W8" s="128" t="s">
        <v>24</v>
      </c>
    </row>
    <row r="9" spans="1:28" s="1" customFormat="1" ht="38.25">
      <c r="A9" s="4"/>
      <c r="B9" s="320"/>
      <c r="C9" s="133" t="s">
        <v>14</v>
      </c>
      <c r="D9" s="133"/>
      <c r="E9" s="133" t="s">
        <v>16</v>
      </c>
      <c r="F9" s="133"/>
      <c r="G9" s="325"/>
      <c r="H9" s="133" t="s">
        <v>14</v>
      </c>
      <c r="I9" s="133"/>
      <c r="J9" s="133"/>
      <c r="K9" s="133"/>
      <c r="L9" s="133"/>
      <c r="M9" s="207" t="s">
        <v>7</v>
      </c>
      <c r="N9" s="134" t="s">
        <v>18</v>
      </c>
      <c r="O9" s="134"/>
      <c r="P9" s="134"/>
      <c r="Q9" s="134"/>
      <c r="R9" s="134"/>
      <c r="S9" s="133" t="s">
        <v>14</v>
      </c>
      <c r="T9" s="133" t="s">
        <v>466</v>
      </c>
      <c r="U9" s="320"/>
      <c r="V9" s="133" t="s">
        <v>14</v>
      </c>
      <c r="W9" s="133" t="s">
        <v>14</v>
      </c>
    </row>
    <row r="10" spans="1:28">
      <c r="A10" s="5">
        <v>1</v>
      </c>
      <c r="B10" s="15" t="s">
        <v>11</v>
      </c>
      <c r="C10" s="15"/>
      <c r="D10" s="15"/>
      <c r="E10" s="15"/>
      <c r="F10" s="15"/>
      <c r="G10" s="15"/>
      <c r="H10" s="15"/>
      <c r="I10" s="15"/>
      <c r="J10" s="15"/>
      <c r="K10" s="15"/>
      <c r="L10" s="15"/>
      <c r="M10" s="208"/>
      <c r="N10" s="135"/>
      <c r="O10" s="135"/>
      <c r="P10" s="135"/>
      <c r="Q10" s="135"/>
      <c r="R10" s="135"/>
      <c r="S10" s="15"/>
      <c r="T10" s="15"/>
      <c r="U10" s="15"/>
      <c r="V10" s="15"/>
      <c r="W10" s="15"/>
    </row>
    <row r="11" spans="1:28">
      <c r="A11" s="5">
        <v>2</v>
      </c>
      <c r="B11" s="9"/>
      <c r="C11" s="9"/>
      <c r="D11" s="175" t="str">
        <f>IF(C11="","",VLOOKUP(C11,'Product formulation'!B:E,4,FALSE))</f>
        <v/>
      </c>
      <c r="E11" s="92"/>
      <c r="F11" s="183">
        <f>IF(D11="",0,(E11*D11/100))</f>
        <v>0</v>
      </c>
      <c r="G11" s="9"/>
      <c r="H11" s="9"/>
      <c r="I11" s="10" t="str">
        <f>IF(H11=Hoja2!$B$15,"Y","N")</f>
        <v>N</v>
      </c>
      <c r="J11" s="10" t="str">
        <f>IF(NOT(ISERROR(SEARCH("400",N11,1))),"Y","N")</f>
        <v>N</v>
      </c>
      <c r="K11" s="10" t="str">
        <f>IF(NOT(ISERROR(SEARCH("412",N11,1))),"Y","N")</f>
        <v>N</v>
      </c>
      <c r="L11" s="10" t="str">
        <f>IF(AND(I11="Y",(OR(J11="Y",K11="Y"))),"Y","N")</f>
        <v>N</v>
      </c>
      <c r="M11" s="209">
        <f>F11</f>
        <v>0</v>
      </c>
      <c r="N11" s="91"/>
      <c r="O11" s="182" t="str">
        <f>IF(S11="Zinc exemption (maximum 25%)","NO",IF(ISNUMBER(SEARCH(410,$N11)),"YES","NO"))</f>
        <v>NO</v>
      </c>
      <c r="P11" s="182" t="str">
        <f>IF(ISNUMBER(SEARCH(411,$N11)),"YES","NO")</f>
        <v>NO</v>
      </c>
      <c r="Q11" s="182" t="str">
        <f t="shared" ref="Q11:Q42" si="0">IF(H11="Surfactant","NO",IF(ISNUMBER(SEARCH(412,$N11)),"YES","NO"))</f>
        <v>NO</v>
      </c>
      <c r="R11" s="6">
        <f t="shared" ref="R11:R42" si="1">IF(O11="YES",M11*100,"0")+IF(P11="YES",M11*10,"0")+IF(Q11="YES",M11,"0")</f>
        <v>0</v>
      </c>
      <c r="S11" s="9"/>
      <c r="T11" s="8"/>
      <c r="U11" s="8"/>
      <c r="V11" s="9"/>
      <c r="W11" s="9"/>
      <c r="AB11">
        <v>300</v>
      </c>
    </row>
    <row r="12" spans="1:28">
      <c r="A12" s="5">
        <v>3</v>
      </c>
      <c r="B12" s="9"/>
      <c r="C12" s="9"/>
      <c r="D12" s="175" t="str">
        <f>IF(C12="","",VLOOKUP(C12,'Product formulation'!B:E,4,FALSE))</f>
        <v/>
      </c>
      <c r="E12" s="92"/>
      <c r="F12" s="183">
        <f t="shared" ref="F12:F59" si="2">IF(D12="",0,(E12*D12/100))</f>
        <v>0</v>
      </c>
      <c r="G12" s="9"/>
      <c r="H12" s="9"/>
      <c r="I12" s="10" t="str">
        <f>IF(H12=Hoja2!$B$15,"Y","N")</f>
        <v>N</v>
      </c>
      <c r="J12" s="10" t="str">
        <f t="shared" ref="J12:J59" si="3">IF(NOT(ISERROR(SEARCH("400",N12,1))),"Y","N")</f>
        <v>N</v>
      </c>
      <c r="K12" s="10" t="str">
        <f t="shared" ref="K12:K59" si="4">IF(NOT(ISERROR(SEARCH("412",N12,1))),"Y","N")</f>
        <v>N</v>
      </c>
      <c r="L12" s="10" t="str">
        <f t="shared" ref="L12:L59" si="5">IF(AND(I12="Y",(OR(J12="Y",K12="Y"))),"Y","N")</f>
        <v>N</v>
      </c>
      <c r="M12" s="209">
        <f>F12</f>
        <v>0</v>
      </c>
      <c r="N12" s="91"/>
      <c r="O12" s="182" t="str">
        <f t="shared" ref="O12:O59" si="6">IF(S12="Zinc exemption (maximum 25%)","NO",IF(ISNUMBER(SEARCH(410,$N12)),"YES","NO"))</f>
        <v>NO</v>
      </c>
      <c r="P12" s="182" t="str">
        <f t="shared" ref="P12:P59" si="7">IF(ISNUMBER(SEARCH(411,$N12)),"YES","NO")</f>
        <v>NO</v>
      </c>
      <c r="Q12" s="182" t="str">
        <f t="shared" si="0"/>
        <v>NO</v>
      </c>
      <c r="R12" s="6">
        <f t="shared" si="1"/>
        <v>0</v>
      </c>
      <c r="S12" s="9"/>
      <c r="T12" s="8"/>
      <c r="U12" s="8"/>
      <c r="V12" s="9"/>
      <c r="W12" s="9"/>
      <c r="AB12">
        <v>301</v>
      </c>
    </row>
    <row r="13" spans="1:28">
      <c r="A13" s="5">
        <v>4</v>
      </c>
      <c r="B13" s="9"/>
      <c r="C13" s="9"/>
      <c r="D13" s="175" t="str">
        <f>IF(C13="","",VLOOKUP(C13,'Product formulation'!B:E,4,FALSE))</f>
        <v/>
      </c>
      <c r="E13" s="92"/>
      <c r="F13" s="183">
        <f t="shared" si="2"/>
        <v>0</v>
      </c>
      <c r="G13" s="9"/>
      <c r="H13" s="9"/>
      <c r="I13" s="10" t="str">
        <f>IF(H13=Hoja2!$B$15,"Y","N")</f>
        <v>N</v>
      </c>
      <c r="J13" s="10" t="str">
        <f t="shared" si="3"/>
        <v>N</v>
      </c>
      <c r="K13" s="10" t="str">
        <f t="shared" si="4"/>
        <v>N</v>
      </c>
      <c r="L13" s="10" t="str">
        <f t="shared" si="5"/>
        <v>N</v>
      </c>
      <c r="M13" s="209">
        <f>F13</f>
        <v>0</v>
      </c>
      <c r="N13" s="91"/>
      <c r="O13" s="182" t="str">
        <f t="shared" si="6"/>
        <v>NO</v>
      </c>
      <c r="P13" s="182" t="str">
        <f t="shared" si="7"/>
        <v>NO</v>
      </c>
      <c r="Q13" s="182" t="str">
        <f t="shared" si="0"/>
        <v>NO</v>
      </c>
      <c r="R13" s="6">
        <f t="shared" si="1"/>
        <v>0</v>
      </c>
      <c r="S13" s="9"/>
      <c r="T13" s="8"/>
      <c r="U13" s="8"/>
      <c r="V13" s="9"/>
      <c r="W13" s="9"/>
      <c r="AB13">
        <v>310</v>
      </c>
    </row>
    <row r="14" spans="1:28">
      <c r="A14" s="5">
        <v>5</v>
      </c>
      <c r="B14" s="9"/>
      <c r="C14" s="9"/>
      <c r="D14" s="175" t="str">
        <f>IF(C14="","",VLOOKUP(C14,'Product formulation'!B:E,4,FALSE))</f>
        <v/>
      </c>
      <c r="E14" s="92"/>
      <c r="F14" s="183">
        <f t="shared" si="2"/>
        <v>0</v>
      </c>
      <c r="G14" s="9"/>
      <c r="H14" s="9"/>
      <c r="I14" s="10" t="str">
        <f>IF(H14=Hoja2!$B$15,"Y","N")</f>
        <v>N</v>
      </c>
      <c r="J14" s="10" t="str">
        <f t="shared" si="3"/>
        <v>N</v>
      </c>
      <c r="K14" s="10" t="str">
        <f t="shared" si="4"/>
        <v>N</v>
      </c>
      <c r="L14" s="10" t="str">
        <f t="shared" si="5"/>
        <v>N</v>
      </c>
      <c r="M14" s="209">
        <f t="shared" ref="M14:M59" si="8">F14</f>
        <v>0</v>
      </c>
      <c r="N14" s="91"/>
      <c r="O14" s="182" t="str">
        <f t="shared" si="6"/>
        <v>NO</v>
      </c>
      <c r="P14" s="182" t="str">
        <f t="shared" si="7"/>
        <v>NO</v>
      </c>
      <c r="Q14" s="182" t="str">
        <f t="shared" si="0"/>
        <v>NO</v>
      </c>
      <c r="R14" s="6">
        <f t="shared" si="1"/>
        <v>0</v>
      </c>
      <c r="S14" s="9"/>
      <c r="T14" s="8"/>
      <c r="U14" s="8"/>
      <c r="V14" s="9"/>
      <c r="W14" s="9"/>
      <c r="AB14">
        <v>311</v>
      </c>
    </row>
    <row r="15" spans="1:28">
      <c r="A15" s="5">
        <v>6</v>
      </c>
      <c r="B15" s="9"/>
      <c r="C15" s="9"/>
      <c r="D15" s="175" t="str">
        <f>IF(C15="","",VLOOKUP(C15,'Product formulation'!B:E,4,FALSE))</f>
        <v/>
      </c>
      <c r="E15" s="92"/>
      <c r="F15" s="183">
        <f t="shared" si="2"/>
        <v>0</v>
      </c>
      <c r="G15" s="9"/>
      <c r="H15" s="9"/>
      <c r="I15" s="10" t="str">
        <f>IF(H15=Hoja2!$B$15,"Y","N")</f>
        <v>N</v>
      </c>
      <c r="J15" s="10" t="str">
        <f t="shared" si="3"/>
        <v>N</v>
      </c>
      <c r="K15" s="10" t="str">
        <f t="shared" si="4"/>
        <v>N</v>
      </c>
      <c r="L15" s="10" t="str">
        <f t="shared" si="5"/>
        <v>N</v>
      </c>
      <c r="M15" s="209">
        <f t="shared" si="8"/>
        <v>0</v>
      </c>
      <c r="N15" s="91"/>
      <c r="O15" s="182" t="str">
        <f t="shared" si="6"/>
        <v>NO</v>
      </c>
      <c r="P15" s="182" t="str">
        <f t="shared" si="7"/>
        <v>NO</v>
      </c>
      <c r="Q15" s="182" t="str">
        <f t="shared" si="0"/>
        <v>NO</v>
      </c>
      <c r="R15" s="6">
        <f t="shared" si="1"/>
        <v>0</v>
      </c>
      <c r="S15" s="9"/>
      <c r="T15" s="8"/>
      <c r="U15" s="8"/>
      <c r="V15" s="9"/>
      <c r="W15" s="9"/>
      <c r="AB15">
        <v>330</v>
      </c>
    </row>
    <row r="16" spans="1:28">
      <c r="A16" s="5">
        <v>7</v>
      </c>
      <c r="B16" s="9"/>
      <c r="C16" s="9"/>
      <c r="D16" s="175" t="str">
        <f>IF(C16="","",VLOOKUP(C16,'Product formulation'!B:E,4,FALSE))</f>
        <v/>
      </c>
      <c r="E16" s="92"/>
      <c r="F16" s="183">
        <f t="shared" si="2"/>
        <v>0</v>
      </c>
      <c r="G16" s="9"/>
      <c r="H16" s="9"/>
      <c r="I16" s="10" t="str">
        <f>IF(H16=Hoja2!$B$15,"Y","N")</f>
        <v>N</v>
      </c>
      <c r="J16" s="10" t="str">
        <f t="shared" si="3"/>
        <v>N</v>
      </c>
      <c r="K16" s="10" t="str">
        <f t="shared" si="4"/>
        <v>N</v>
      </c>
      <c r="L16" s="10" t="str">
        <f t="shared" si="5"/>
        <v>N</v>
      </c>
      <c r="M16" s="209">
        <f t="shared" si="8"/>
        <v>0</v>
      </c>
      <c r="N16" s="91"/>
      <c r="O16" s="182" t="str">
        <f t="shared" si="6"/>
        <v>NO</v>
      </c>
      <c r="P16" s="182" t="str">
        <f t="shared" si="7"/>
        <v>NO</v>
      </c>
      <c r="Q16" s="182" t="str">
        <f t="shared" si="0"/>
        <v>NO</v>
      </c>
      <c r="R16" s="6">
        <f t="shared" si="1"/>
        <v>0</v>
      </c>
      <c r="S16" s="9"/>
      <c r="T16" s="8"/>
      <c r="U16" s="8"/>
      <c r="V16" s="9"/>
      <c r="W16" s="9"/>
      <c r="AB16">
        <v>331</v>
      </c>
    </row>
    <row r="17" spans="1:29">
      <c r="A17" s="5">
        <v>8</v>
      </c>
      <c r="B17" s="9"/>
      <c r="C17" s="9"/>
      <c r="D17" s="175" t="str">
        <f>IF(C17="","",VLOOKUP(C17,'Product formulation'!B:E,4,FALSE))</f>
        <v/>
      </c>
      <c r="E17" s="92"/>
      <c r="F17" s="183">
        <f t="shared" si="2"/>
        <v>0</v>
      </c>
      <c r="G17" s="9"/>
      <c r="H17" s="9"/>
      <c r="I17" s="10" t="str">
        <f>IF(H17=Hoja2!$B$15,"Y","N")</f>
        <v>N</v>
      </c>
      <c r="J17" s="10" t="str">
        <f t="shared" si="3"/>
        <v>N</v>
      </c>
      <c r="K17" s="10" t="str">
        <f t="shared" si="4"/>
        <v>N</v>
      </c>
      <c r="L17" s="10" t="str">
        <f t="shared" si="5"/>
        <v>N</v>
      </c>
      <c r="M17" s="209">
        <f t="shared" si="8"/>
        <v>0</v>
      </c>
      <c r="N17" s="91"/>
      <c r="O17" s="182" t="str">
        <f t="shared" si="6"/>
        <v>NO</v>
      </c>
      <c r="P17" s="182" t="str">
        <f t="shared" si="7"/>
        <v>NO</v>
      </c>
      <c r="Q17" s="182" t="str">
        <f t="shared" si="0"/>
        <v>NO</v>
      </c>
      <c r="R17" s="6">
        <f t="shared" si="1"/>
        <v>0</v>
      </c>
      <c r="S17" s="9"/>
      <c r="T17" s="8"/>
      <c r="U17" s="8"/>
      <c r="V17" s="9"/>
      <c r="W17" s="9"/>
      <c r="AB17">
        <v>304</v>
      </c>
    </row>
    <row r="18" spans="1:29">
      <c r="A18" s="5">
        <v>9</v>
      </c>
      <c r="B18" s="9"/>
      <c r="C18" s="9"/>
      <c r="D18" s="175" t="str">
        <f>IF(C18="","",VLOOKUP(C18,'Product formulation'!B:E,4,FALSE))</f>
        <v/>
      </c>
      <c r="E18" s="92"/>
      <c r="F18" s="183">
        <f t="shared" si="2"/>
        <v>0</v>
      </c>
      <c r="G18" s="9"/>
      <c r="H18" s="9"/>
      <c r="I18" s="10" t="str">
        <f>IF(H18=Hoja2!$B$15,"Y","N")</f>
        <v>N</v>
      </c>
      <c r="J18" s="10" t="str">
        <f t="shared" si="3"/>
        <v>N</v>
      </c>
      <c r="K18" s="10" t="str">
        <f t="shared" si="4"/>
        <v>N</v>
      </c>
      <c r="L18" s="10" t="str">
        <f t="shared" si="5"/>
        <v>N</v>
      </c>
      <c r="M18" s="209">
        <f t="shared" si="8"/>
        <v>0</v>
      </c>
      <c r="N18" s="91"/>
      <c r="O18" s="182" t="str">
        <f t="shared" si="6"/>
        <v>NO</v>
      </c>
      <c r="P18" s="182" t="str">
        <f t="shared" si="7"/>
        <v>NO</v>
      </c>
      <c r="Q18" s="182" t="str">
        <f t="shared" si="0"/>
        <v>NO</v>
      </c>
      <c r="R18" s="6">
        <f t="shared" si="1"/>
        <v>0</v>
      </c>
      <c r="S18" s="9"/>
      <c r="T18" s="8"/>
      <c r="U18" s="8"/>
      <c r="V18" s="9"/>
      <c r="W18" s="9"/>
      <c r="AB18">
        <v>370</v>
      </c>
    </row>
    <row r="19" spans="1:29">
      <c r="A19" s="5">
        <v>10</v>
      </c>
      <c r="B19" s="9"/>
      <c r="C19" s="9"/>
      <c r="D19" s="175" t="str">
        <f>IF(C19="","",VLOOKUP(C19,'Product formulation'!B:E,4,FALSE))</f>
        <v/>
      </c>
      <c r="E19" s="92"/>
      <c r="F19" s="183">
        <f t="shared" si="2"/>
        <v>0</v>
      </c>
      <c r="G19" s="9"/>
      <c r="H19" s="9"/>
      <c r="I19" s="10" t="str">
        <f>IF(H19=Hoja2!$B$15,"Y","N")</f>
        <v>N</v>
      </c>
      <c r="J19" s="10" t="str">
        <f t="shared" si="3"/>
        <v>N</v>
      </c>
      <c r="K19" s="10" t="str">
        <f t="shared" si="4"/>
        <v>N</v>
      </c>
      <c r="L19" s="10" t="str">
        <f t="shared" si="5"/>
        <v>N</v>
      </c>
      <c r="M19" s="209">
        <f t="shared" si="8"/>
        <v>0</v>
      </c>
      <c r="N19" s="91"/>
      <c r="O19" s="182" t="str">
        <f t="shared" si="6"/>
        <v>NO</v>
      </c>
      <c r="P19" s="182" t="str">
        <f t="shared" si="7"/>
        <v>NO</v>
      </c>
      <c r="Q19" s="182" t="str">
        <f t="shared" si="0"/>
        <v>NO</v>
      </c>
      <c r="R19" s="6">
        <f t="shared" si="1"/>
        <v>0</v>
      </c>
      <c r="S19" s="9"/>
      <c r="T19" s="8"/>
      <c r="U19" s="8"/>
      <c r="V19" s="9"/>
      <c r="W19" s="9"/>
      <c r="AB19">
        <v>371</v>
      </c>
    </row>
    <row r="20" spans="1:29">
      <c r="A20" s="5">
        <v>11</v>
      </c>
      <c r="B20" s="9"/>
      <c r="C20" s="9"/>
      <c r="D20" s="175" t="str">
        <f>IF(C20="","",VLOOKUP(C20,'Product formulation'!B:E,4,FALSE))</f>
        <v/>
      </c>
      <c r="E20" s="92"/>
      <c r="F20" s="183">
        <f t="shared" si="2"/>
        <v>0</v>
      </c>
      <c r="G20" s="9"/>
      <c r="H20" s="9"/>
      <c r="I20" s="10" t="str">
        <f>IF(H20=Hoja2!$B$15,"Y","N")</f>
        <v>N</v>
      </c>
      <c r="J20" s="10" t="str">
        <f t="shared" si="3"/>
        <v>N</v>
      </c>
      <c r="K20" s="10" t="str">
        <f t="shared" si="4"/>
        <v>N</v>
      </c>
      <c r="L20" s="10" t="str">
        <f t="shared" si="5"/>
        <v>N</v>
      </c>
      <c r="M20" s="209">
        <f t="shared" si="8"/>
        <v>0</v>
      </c>
      <c r="N20" s="91"/>
      <c r="O20" s="182" t="str">
        <f t="shared" si="6"/>
        <v>NO</v>
      </c>
      <c r="P20" s="182" t="str">
        <f t="shared" si="7"/>
        <v>NO</v>
      </c>
      <c r="Q20" s="182" t="str">
        <f t="shared" si="0"/>
        <v>NO</v>
      </c>
      <c r="R20" s="6">
        <f t="shared" si="1"/>
        <v>0</v>
      </c>
      <c r="S20" s="9"/>
      <c r="T20" s="8"/>
      <c r="U20" s="8"/>
      <c r="V20" s="9"/>
      <c r="W20" s="9"/>
      <c r="AB20">
        <v>372</v>
      </c>
    </row>
    <row r="21" spans="1:29">
      <c r="A21" s="5">
        <v>12</v>
      </c>
      <c r="B21" s="9"/>
      <c r="C21" s="9"/>
      <c r="D21" s="175" t="str">
        <f>IF(C21="","",VLOOKUP(C21,'Product formulation'!B:E,4,FALSE))</f>
        <v/>
      </c>
      <c r="E21" s="92"/>
      <c r="F21" s="183">
        <f t="shared" si="2"/>
        <v>0</v>
      </c>
      <c r="G21" s="9"/>
      <c r="H21" s="9"/>
      <c r="I21" s="10" t="str">
        <f>IF(H21=Hoja2!$B$15,"Y","N")</f>
        <v>N</v>
      </c>
      <c r="J21" s="10" t="str">
        <f t="shared" si="3"/>
        <v>N</v>
      </c>
      <c r="K21" s="10" t="str">
        <f t="shared" si="4"/>
        <v>N</v>
      </c>
      <c r="L21" s="10" t="str">
        <f t="shared" si="5"/>
        <v>N</v>
      </c>
      <c r="M21" s="209">
        <f t="shared" si="8"/>
        <v>0</v>
      </c>
      <c r="N21" s="91"/>
      <c r="O21" s="182" t="str">
        <f t="shared" si="6"/>
        <v>NO</v>
      </c>
      <c r="P21" s="182" t="str">
        <f t="shared" si="7"/>
        <v>NO</v>
      </c>
      <c r="Q21" s="182" t="str">
        <f t="shared" si="0"/>
        <v>NO</v>
      </c>
      <c r="R21" s="6">
        <f t="shared" si="1"/>
        <v>0</v>
      </c>
      <c r="S21" s="9"/>
      <c r="T21" s="8"/>
      <c r="U21" s="8"/>
      <c r="V21" s="9"/>
      <c r="W21" s="9"/>
      <c r="AB21">
        <v>373</v>
      </c>
    </row>
    <row r="22" spans="1:29">
      <c r="A22" s="5">
        <v>13</v>
      </c>
      <c r="B22" s="9"/>
      <c r="C22" s="9"/>
      <c r="D22" s="175" t="str">
        <f>IF(C22="","",VLOOKUP(C22,'Product formulation'!B:E,4,FALSE))</f>
        <v/>
      </c>
      <c r="E22" s="92"/>
      <c r="F22" s="183">
        <f t="shared" si="2"/>
        <v>0</v>
      </c>
      <c r="G22" s="9"/>
      <c r="H22" s="9"/>
      <c r="I22" s="10" t="str">
        <f>IF(H22=Hoja2!$B$15,"Y","N")</f>
        <v>N</v>
      </c>
      <c r="J22" s="10" t="str">
        <f t="shared" si="3"/>
        <v>N</v>
      </c>
      <c r="K22" s="10" t="str">
        <f t="shared" si="4"/>
        <v>N</v>
      </c>
      <c r="L22" s="10" t="str">
        <f t="shared" si="5"/>
        <v>N</v>
      </c>
      <c r="M22" s="209">
        <f t="shared" si="8"/>
        <v>0</v>
      </c>
      <c r="N22" s="91"/>
      <c r="O22" s="182" t="str">
        <f t="shared" si="6"/>
        <v>NO</v>
      </c>
      <c r="P22" s="182" t="str">
        <f t="shared" si="7"/>
        <v>NO</v>
      </c>
      <c r="Q22" s="182" t="str">
        <f t="shared" si="0"/>
        <v>NO</v>
      </c>
      <c r="R22" s="6">
        <f t="shared" si="1"/>
        <v>0</v>
      </c>
      <c r="S22" s="9"/>
      <c r="T22" s="8"/>
      <c r="U22" s="8"/>
      <c r="V22" s="9"/>
      <c r="W22" s="9"/>
      <c r="AB22">
        <v>317</v>
      </c>
    </row>
    <row r="23" spans="1:29">
      <c r="A23" s="5">
        <v>14</v>
      </c>
      <c r="B23" s="9"/>
      <c r="C23" s="9"/>
      <c r="D23" s="175" t="str">
        <f>IF(C23="","",VLOOKUP(C23,'Product formulation'!B:E,4,FALSE))</f>
        <v/>
      </c>
      <c r="E23" s="92"/>
      <c r="F23" s="183">
        <f t="shared" si="2"/>
        <v>0</v>
      </c>
      <c r="G23" s="9"/>
      <c r="H23" s="9"/>
      <c r="I23" s="10" t="str">
        <f>IF(H23=Hoja2!$B$15,"Y","N")</f>
        <v>N</v>
      </c>
      <c r="J23" s="10" t="str">
        <f t="shared" si="3"/>
        <v>N</v>
      </c>
      <c r="K23" s="10" t="str">
        <f t="shared" si="4"/>
        <v>N</v>
      </c>
      <c r="L23" s="10" t="str">
        <f t="shared" si="5"/>
        <v>N</v>
      </c>
      <c r="M23" s="209">
        <f t="shared" si="8"/>
        <v>0</v>
      </c>
      <c r="N23" s="91"/>
      <c r="O23" s="182" t="str">
        <f t="shared" si="6"/>
        <v>NO</v>
      </c>
      <c r="P23" s="182" t="str">
        <f t="shared" si="7"/>
        <v>NO</v>
      </c>
      <c r="Q23" s="182" t="str">
        <f t="shared" si="0"/>
        <v>NO</v>
      </c>
      <c r="R23" s="6">
        <f t="shared" si="1"/>
        <v>0</v>
      </c>
      <c r="S23" s="9"/>
      <c r="T23" s="8"/>
      <c r="U23" s="8"/>
      <c r="V23" s="9"/>
      <c r="W23" s="9"/>
      <c r="AB23">
        <v>334</v>
      </c>
    </row>
    <row r="24" spans="1:29">
      <c r="A24" s="5">
        <v>15</v>
      </c>
      <c r="B24" s="9"/>
      <c r="C24" s="9"/>
      <c r="D24" s="175" t="str">
        <f>IF(C24="","",VLOOKUP(C24,'Product formulation'!B:E,4,FALSE))</f>
        <v/>
      </c>
      <c r="E24" s="92"/>
      <c r="F24" s="183">
        <f t="shared" si="2"/>
        <v>0</v>
      </c>
      <c r="G24" s="9"/>
      <c r="H24" s="9"/>
      <c r="I24" s="10" t="str">
        <f>IF(H24=Hoja2!$B$15,"Y","N")</f>
        <v>N</v>
      </c>
      <c r="J24" s="10" t="str">
        <f t="shared" si="3"/>
        <v>N</v>
      </c>
      <c r="K24" s="10" t="str">
        <f t="shared" si="4"/>
        <v>N</v>
      </c>
      <c r="L24" s="10" t="str">
        <f t="shared" si="5"/>
        <v>N</v>
      </c>
      <c r="M24" s="209">
        <f t="shared" si="8"/>
        <v>0</v>
      </c>
      <c r="N24" s="91"/>
      <c r="O24" s="182" t="str">
        <f t="shared" si="6"/>
        <v>NO</v>
      </c>
      <c r="P24" s="182" t="str">
        <f t="shared" si="7"/>
        <v>NO</v>
      </c>
      <c r="Q24" s="182" t="str">
        <f t="shared" si="0"/>
        <v>NO</v>
      </c>
      <c r="R24" s="6">
        <f t="shared" si="1"/>
        <v>0</v>
      </c>
      <c r="S24" s="9"/>
      <c r="T24" s="8"/>
      <c r="U24" s="8"/>
      <c r="V24" s="9"/>
      <c r="W24" s="9"/>
      <c r="AB24">
        <v>400</v>
      </c>
    </row>
    <row r="25" spans="1:29">
      <c r="A25" s="5">
        <v>16</v>
      </c>
      <c r="B25" s="9"/>
      <c r="C25" s="9"/>
      <c r="D25" s="175" t="str">
        <f>IF(C25="","",VLOOKUP(C25,'Product formulation'!B:E,4,FALSE))</f>
        <v/>
      </c>
      <c r="E25" s="92"/>
      <c r="F25" s="183">
        <f t="shared" si="2"/>
        <v>0</v>
      </c>
      <c r="G25" s="9"/>
      <c r="H25" s="9"/>
      <c r="I25" s="10" t="str">
        <f>IF(H25=Hoja2!$B$15,"Y","N")</f>
        <v>N</v>
      </c>
      <c r="J25" s="10" t="str">
        <f t="shared" si="3"/>
        <v>N</v>
      </c>
      <c r="K25" s="10" t="str">
        <f t="shared" si="4"/>
        <v>N</v>
      </c>
      <c r="L25" s="10" t="str">
        <f t="shared" si="5"/>
        <v>N</v>
      </c>
      <c r="M25" s="209">
        <f t="shared" si="8"/>
        <v>0</v>
      </c>
      <c r="N25" s="91"/>
      <c r="O25" s="182" t="str">
        <f t="shared" si="6"/>
        <v>NO</v>
      </c>
      <c r="P25" s="182" t="str">
        <f t="shared" si="7"/>
        <v>NO</v>
      </c>
      <c r="Q25" s="182" t="str">
        <f t="shared" si="0"/>
        <v>NO</v>
      </c>
      <c r="R25" s="6">
        <f t="shared" si="1"/>
        <v>0</v>
      </c>
      <c r="S25" s="9"/>
      <c r="T25" s="8"/>
      <c r="U25" s="8"/>
      <c r="V25" s="9"/>
      <c r="W25" s="9"/>
      <c r="AB25">
        <v>410</v>
      </c>
    </row>
    <row r="26" spans="1:29">
      <c r="A26" s="5">
        <v>17</v>
      </c>
      <c r="B26" s="9"/>
      <c r="C26" s="9"/>
      <c r="D26" s="175" t="str">
        <f>IF(C26="","",VLOOKUP(C26,'Product formulation'!B:E,4,FALSE))</f>
        <v/>
      </c>
      <c r="E26" s="92"/>
      <c r="F26" s="183">
        <f t="shared" si="2"/>
        <v>0</v>
      </c>
      <c r="G26" s="9"/>
      <c r="H26" s="9"/>
      <c r="I26" s="10" t="str">
        <f>IF(H26=Hoja2!$B$15,"Y","N")</f>
        <v>N</v>
      </c>
      <c r="J26" s="10" t="str">
        <f t="shared" si="3"/>
        <v>N</v>
      </c>
      <c r="K26" s="10" t="str">
        <f t="shared" si="4"/>
        <v>N</v>
      </c>
      <c r="L26" s="10" t="str">
        <f t="shared" si="5"/>
        <v>N</v>
      </c>
      <c r="M26" s="209">
        <f t="shared" si="8"/>
        <v>0</v>
      </c>
      <c r="N26" s="91"/>
      <c r="O26" s="182" t="str">
        <f t="shared" si="6"/>
        <v>NO</v>
      </c>
      <c r="P26" s="182" t="str">
        <f t="shared" si="7"/>
        <v>NO</v>
      </c>
      <c r="Q26" s="182" t="str">
        <f t="shared" si="0"/>
        <v>NO</v>
      </c>
      <c r="R26" s="6">
        <f t="shared" si="1"/>
        <v>0</v>
      </c>
      <c r="S26" s="9"/>
      <c r="T26" s="8"/>
      <c r="U26" s="8"/>
      <c r="V26" s="9"/>
      <c r="W26" s="9"/>
      <c r="AB26">
        <v>411</v>
      </c>
    </row>
    <row r="27" spans="1:29">
      <c r="A27" s="5">
        <v>18</v>
      </c>
      <c r="B27" s="9"/>
      <c r="C27" s="9"/>
      <c r="D27" s="175" t="str">
        <f>IF(C27="","",VLOOKUP(C27,'Product formulation'!B:E,4,FALSE))</f>
        <v/>
      </c>
      <c r="E27" s="92"/>
      <c r="F27" s="183">
        <f t="shared" si="2"/>
        <v>0</v>
      </c>
      <c r="G27" s="9"/>
      <c r="H27" s="9"/>
      <c r="I27" s="10" t="str">
        <f>IF(H27=Hoja2!$B$15,"Y","N")</f>
        <v>N</v>
      </c>
      <c r="J27" s="10" t="str">
        <f t="shared" si="3"/>
        <v>N</v>
      </c>
      <c r="K27" s="10" t="str">
        <f t="shared" si="4"/>
        <v>N</v>
      </c>
      <c r="L27" s="10" t="str">
        <f t="shared" si="5"/>
        <v>N</v>
      </c>
      <c r="M27" s="209">
        <f t="shared" si="8"/>
        <v>0</v>
      </c>
      <c r="N27" s="91"/>
      <c r="O27" s="182" t="str">
        <f t="shared" si="6"/>
        <v>NO</v>
      </c>
      <c r="P27" s="182" t="str">
        <f t="shared" si="7"/>
        <v>NO</v>
      </c>
      <c r="Q27" s="182" t="str">
        <f t="shared" si="0"/>
        <v>NO</v>
      </c>
      <c r="R27" s="6">
        <f t="shared" si="1"/>
        <v>0</v>
      </c>
      <c r="S27" s="9"/>
      <c r="T27" s="8"/>
      <c r="U27" s="8"/>
      <c r="V27" s="9"/>
      <c r="W27" s="9"/>
      <c r="AB27">
        <v>412</v>
      </c>
    </row>
    <row r="28" spans="1:29">
      <c r="A28" s="5">
        <v>19</v>
      </c>
      <c r="B28" s="9"/>
      <c r="C28" s="9"/>
      <c r="D28" s="175" t="str">
        <f>IF(C28="","",VLOOKUP(C28,'Product formulation'!B:E,4,FALSE))</f>
        <v/>
      </c>
      <c r="E28" s="92"/>
      <c r="F28" s="183">
        <f t="shared" si="2"/>
        <v>0</v>
      </c>
      <c r="G28" s="9"/>
      <c r="H28" s="9"/>
      <c r="I28" s="10" t="str">
        <f>IF(H28=Hoja2!$B$15,"Y","N")</f>
        <v>N</v>
      </c>
      <c r="J28" s="10" t="str">
        <f t="shared" si="3"/>
        <v>N</v>
      </c>
      <c r="K28" s="10" t="str">
        <f t="shared" si="4"/>
        <v>N</v>
      </c>
      <c r="L28" s="10" t="str">
        <f t="shared" si="5"/>
        <v>N</v>
      </c>
      <c r="M28" s="209">
        <f t="shared" si="8"/>
        <v>0</v>
      </c>
      <c r="N28" s="91"/>
      <c r="O28" s="182" t="str">
        <f t="shared" si="6"/>
        <v>NO</v>
      </c>
      <c r="P28" s="182" t="str">
        <f t="shared" si="7"/>
        <v>NO</v>
      </c>
      <c r="Q28" s="182" t="str">
        <f t="shared" si="0"/>
        <v>NO</v>
      </c>
      <c r="R28" s="6">
        <f t="shared" si="1"/>
        <v>0</v>
      </c>
      <c r="S28" s="9"/>
      <c r="T28" s="8"/>
      <c r="U28" s="8"/>
      <c r="V28" s="9"/>
      <c r="W28" s="9"/>
      <c r="AB28">
        <v>413</v>
      </c>
    </row>
    <row r="29" spans="1:29">
      <c r="A29" s="5">
        <v>20</v>
      </c>
      <c r="B29" s="9"/>
      <c r="C29" s="9"/>
      <c r="D29" s="175" t="str">
        <f>IF(C29="","",VLOOKUP(C29,'Product formulation'!B:E,4,FALSE))</f>
        <v/>
      </c>
      <c r="E29" s="92"/>
      <c r="F29" s="183">
        <f t="shared" si="2"/>
        <v>0</v>
      </c>
      <c r="G29" s="9"/>
      <c r="H29" s="9"/>
      <c r="I29" s="10" t="str">
        <f>IF(H29=Hoja2!$B$15,"Y","N")</f>
        <v>N</v>
      </c>
      <c r="J29" s="10" t="str">
        <f t="shared" si="3"/>
        <v>N</v>
      </c>
      <c r="K29" s="10" t="str">
        <f t="shared" si="4"/>
        <v>N</v>
      </c>
      <c r="L29" s="10" t="str">
        <f t="shared" si="5"/>
        <v>N</v>
      </c>
      <c r="M29" s="209">
        <f t="shared" si="8"/>
        <v>0</v>
      </c>
      <c r="N29" s="91"/>
      <c r="O29" s="182" t="str">
        <f t="shared" si="6"/>
        <v>NO</v>
      </c>
      <c r="P29" s="182" t="str">
        <f t="shared" si="7"/>
        <v>NO</v>
      </c>
      <c r="Q29" s="182" t="str">
        <f t="shared" si="0"/>
        <v>NO</v>
      </c>
      <c r="R29" s="6">
        <f t="shared" si="1"/>
        <v>0</v>
      </c>
      <c r="S29" s="9"/>
      <c r="T29" s="8"/>
      <c r="U29" s="8"/>
      <c r="V29" s="9"/>
      <c r="W29" s="9"/>
      <c r="AB29">
        <v>420</v>
      </c>
    </row>
    <row r="30" spans="1:29">
      <c r="A30" s="5">
        <v>21</v>
      </c>
      <c r="B30" s="9"/>
      <c r="C30" s="9"/>
      <c r="D30" s="175" t="str">
        <f>IF(C30="","",VLOOKUP(C30,'Product formulation'!B:E,4,FALSE))</f>
        <v/>
      </c>
      <c r="E30" s="92"/>
      <c r="F30" s="183">
        <f t="shared" si="2"/>
        <v>0</v>
      </c>
      <c r="G30" s="9"/>
      <c r="H30" s="9"/>
      <c r="I30" s="10" t="str">
        <f>IF(H30=Hoja2!$B$15,"Y","N")</f>
        <v>N</v>
      </c>
      <c r="J30" s="10" t="str">
        <f t="shared" si="3"/>
        <v>N</v>
      </c>
      <c r="K30" s="10" t="str">
        <f t="shared" si="4"/>
        <v>N</v>
      </c>
      <c r="L30" s="10" t="str">
        <f t="shared" si="5"/>
        <v>N</v>
      </c>
      <c r="M30" s="209">
        <f t="shared" si="8"/>
        <v>0</v>
      </c>
      <c r="N30" s="91"/>
      <c r="O30" s="182" t="str">
        <f t="shared" si="6"/>
        <v>NO</v>
      </c>
      <c r="P30" s="182" t="str">
        <f t="shared" si="7"/>
        <v>NO</v>
      </c>
      <c r="Q30" s="182" t="str">
        <f t="shared" si="0"/>
        <v>NO</v>
      </c>
      <c r="R30" s="6">
        <f t="shared" si="1"/>
        <v>0</v>
      </c>
      <c r="S30" s="9"/>
      <c r="T30" s="8"/>
      <c r="U30" s="8"/>
      <c r="V30" s="9"/>
      <c r="W30" s="9"/>
      <c r="AB30">
        <v>340</v>
      </c>
      <c r="AC30"/>
    </row>
    <row r="31" spans="1:29">
      <c r="A31" s="5">
        <v>22</v>
      </c>
      <c r="B31" s="9"/>
      <c r="C31" s="9"/>
      <c r="D31" s="175" t="str">
        <f>IF(C31="","",VLOOKUP(C31,'Product formulation'!B:E,4,FALSE))</f>
        <v/>
      </c>
      <c r="E31" s="92"/>
      <c r="F31" s="183">
        <f t="shared" si="2"/>
        <v>0</v>
      </c>
      <c r="G31" s="9"/>
      <c r="H31" s="9"/>
      <c r="I31" s="10" t="str">
        <f>IF(H31=Hoja2!$B$15,"Y","N")</f>
        <v>N</v>
      </c>
      <c r="J31" s="10" t="str">
        <f t="shared" si="3"/>
        <v>N</v>
      </c>
      <c r="K31" s="10" t="str">
        <f t="shared" si="4"/>
        <v>N</v>
      </c>
      <c r="L31" s="10" t="str">
        <f t="shared" si="5"/>
        <v>N</v>
      </c>
      <c r="M31" s="209">
        <f t="shared" si="8"/>
        <v>0</v>
      </c>
      <c r="N31" s="91"/>
      <c r="O31" s="182" t="str">
        <f t="shared" si="6"/>
        <v>NO</v>
      </c>
      <c r="P31" s="182" t="str">
        <f t="shared" si="7"/>
        <v>NO</v>
      </c>
      <c r="Q31" s="182" t="str">
        <f t="shared" si="0"/>
        <v>NO</v>
      </c>
      <c r="R31" s="6">
        <f t="shared" si="1"/>
        <v>0</v>
      </c>
      <c r="S31" s="9"/>
      <c r="T31" s="8"/>
      <c r="U31" s="8"/>
      <c r="V31" s="9"/>
      <c r="W31" s="9"/>
      <c r="AB31">
        <v>341</v>
      </c>
    </row>
    <row r="32" spans="1:29">
      <c r="A32" s="5">
        <v>23</v>
      </c>
      <c r="B32" s="9"/>
      <c r="C32" s="9"/>
      <c r="D32" s="175" t="str">
        <f>IF(C32="","",VLOOKUP(C32,'Product formulation'!B:E,4,FALSE))</f>
        <v/>
      </c>
      <c r="E32" s="92"/>
      <c r="F32" s="183">
        <f t="shared" si="2"/>
        <v>0</v>
      </c>
      <c r="G32" s="9"/>
      <c r="H32" s="9"/>
      <c r="I32" s="10" t="str">
        <f>IF(H32=Hoja2!$B$15,"Y","N")</f>
        <v>N</v>
      </c>
      <c r="J32" s="10" t="str">
        <f t="shared" si="3"/>
        <v>N</v>
      </c>
      <c r="K32" s="10" t="str">
        <f t="shared" si="4"/>
        <v>N</v>
      </c>
      <c r="L32" s="10" t="str">
        <f t="shared" si="5"/>
        <v>N</v>
      </c>
      <c r="M32" s="209">
        <f t="shared" si="8"/>
        <v>0</v>
      </c>
      <c r="N32" s="91"/>
      <c r="O32" s="182" t="str">
        <f t="shared" si="6"/>
        <v>NO</v>
      </c>
      <c r="P32" s="182" t="str">
        <f t="shared" si="7"/>
        <v>NO</v>
      </c>
      <c r="Q32" s="182" t="str">
        <f t="shared" si="0"/>
        <v>NO</v>
      </c>
      <c r="R32" s="6">
        <f t="shared" si="1"/>
        <v>0</v>
      </c>
      <c r="S32" s="9"/>
      <c r="T32" s="8"/>
      <c r="U32" s="8"/>
      <c r="V32" s="9"/>
      <c r="W32" s="9"/>
      <c r="AB32">
        <v>350</v>
      </c>
    </row>
    <row r="33" spans="1:28">
      <c r="A33" s="5">
        <v>24</v>
      </c>
      <c r="B33" s="9"/>
      <c r="C33" s="9"/>
      <c r="D33" s="175" t="str">
        <f>IF(C33="","",VLOOKUP(C33,'Product formulation'!B:E,4,FALSE))</f>
        <v/>
      </c>
      <c r="E33" s="92"/>
      <c r="F33" s="183">
        <f t="shared" si="2"/>
        <v>0</v>
      </c>
      <c r="G33" s="9"/>
      <c r="H33" s="9"/>
      <c r="I33" s="10" t="str">
        <f>IF(H33=Hoja2!$B$15,"Y","N")</f>
        <v>N</v>
      </c>
      <c r="J33" s="10" t="str">
        <f t="shared" si="3"/>
        <v>N</v>
      </c>
      <c r="K33" s="10" t="str">
        <f t="shared" si="4"/>
        <v>N</v>
      </c>
      <c r="L33" s="10" t="str">
        <f t="shared" si="5"/>
        <v>N</v>
      </c>
      <c r="M33" s="209">
        <f t="shared" si="8"/>
        <v>0</v>
      </c>
      <c r="N33" s="91"/>
      <c r="O33" s="182" t="str">
        <f t="shared" si="6"/>
        <v>NO</v>
      </c>
      <c r="P33" s="182" t="str">
        <f t="shared" si="7"/>
        <v>NO</v>
      </c>
      <c r="Q33" s="182" t="str">
        <f t="shared" si="0"/>
        <v>NO</v>
      </c>
      <c r="R33" s="6">
        <f t="shared" si="1"/>
        <v>0</v>
      </c>
      <c r="S33" s="9"/>
      <c r="T33" s="8"/>
      <c r="U33" s="8"/>
      <c r="V33" s="9"/>
      <c r="W33" s="9"/>
      <c r="AB33">
        <v>351</v>
      </c>
    </row>
    <row r="34" spans="1:28">
      <c r="A34" s="5">
        <v>25</v>
      </c>
      <c r="B34" s="9"/>
      <c r="C34" s="9"/>
      <c r="D34" s="175" t="str">
        <f>IF(C34="","",VLOOKUP(C34,'Product formulation'!B:E,4,FALSE))</f>
        <v/>
      </c>
      <c r="E34" s="92"/>
      <c r="F34" s="183">
        <f t="shared" si="2"/>
        <v>0</v>
      </c>
      <c r="G34" s="9"/>
      <c r="H34" s="9"/>
      <c r="I34" s="10" t="str">
        <f>IF(H34=Hoja2!$B$15,"Y","N")</f>
        <v>N</v>
      </c>
      <c r="J34" s="10" t="str">
        <f t="shared" si="3"/>
        <v>N</v>
      </c>
      <c r="K34" s="10" t="str">
        <f t="shared" si="4"/>
        <v>N</v>
      </c>
      <c r="L34" s="10" t="str">
        <f t="shared" si="5"/>
        <v>N</v>
      </c>
      <c r="M34" s="209">
        <f t="shared" si="8"/>
        <v>0</v>
      </c>
      <c r="N34" s="91"/>
      <c r="O34" s="182" t="str">
        <f t="shared" si="6"/>
        <v>NO</v>
      </c>
      <c r="P34" s="182" t="str">
        <f t="shared" si="7"/>
        <v>NO</v>
      </c>
      <c r="Q34" s="182" t="str">
        <f t="shared" si="0"/>
        <v>NO</v>
      </c>
      <c r="R34" s="6">
        <f t="shared" si="1"/>
        <v>0</v>
      </c>
      <c r="S34" s="9"/>
      <c r="T34" s="8"/>
      <c r="U34" s="8"/>
      <c r="V34" s="9"/>
      <c r="W34" s="9"/>
      <c r="AB34">
        <v>360</v>
      </c>
    </row>
    <row r="35" spans="1:28">
      <c r="A35" s="5">
        <v>26</v>
      </c>
      <c r="B35" s="9"/>
      <c r="C35" s="9"/>
      <c r="D35" s="175" t="str">
        <f>IF(C35="","",VLOOKUP(C35,'Product formulation'!B:E,4,FALSE))</f>
        <v/>
      </c>
      <c r="E35" s="92"/>
      <c r="F35" s="183">
        <f t="shared" si="2"/>
        <v>0</v>
      </c>
      <c r="G35" s="9"/>
      <c r="H35" s="9"/>
      <c r="I35" s="10" t="str">
        <f>IF(H35=Hoja2!$B$15,"Y","N")</f>
        <v>N</v>
      </c>
      <c r="J35" s="10" t="str">
        <f t="shared" si="3"/>
        <v>N</v>
      </c>
      <c r="K35" s="10" t="str">
        <f t="shared" si="4"/>
        <v>N</v>
      </c>
      <c r="L35" s="10" t="str">
        <f t="shared" si="5"/>
        <v>N</v>
      </c>
      <c r="M35" s="209">
        <f t="shared" si="8"/>
        <v>0</v>
      </c>
      <c r="N35" s="91"/>
      <c r="O35" s="182" t="str">
        <f t="shared" si="6"/>
        <v>NO</v>
      </c>
      <c r="P35" s="182" t="str">
        <f t="shared" si="7"/>
        <v>NO</v>
      </c>
      <c r="Q35" s="182" t="str">
        <f t="shared" si="0"/>
        <v>NO</v>
      </c>
      <c r="R35" s="6">
        <f t="shared" si="1"/>
        <v>0</v>
      </c>
      <c r="S35" s="9"/>
      <c r="T35" s="8"/>
      <c r="U35" s="8"/>
      <c r="V35" s="9"/>
      <c r="W35" s="9"/>
      <c r="AB35">
        <v>361</v>
      </c>
    </row>
    <row r="36" spans="1:28">
      <c r="A36" s="5">
        <v>27</v>
      </c>
      <c r="B36" s="9"/>
      <c r="C36" s="9"/>
      <c r="D36" s="175" t="str">
        <f>IF(C36="","",VLOOKUP(C36,'Product formulation'!B:E,4,FALSE))</f>
        <v/>
      </c>
      <c r="E36" s="92"/>
      <c r="F36" s="183">
        <f t="shared" si="2"/>
        <v>0</v>
      </c>
      <c r="G36" s="9"/>
      <c r="H36" s="9"/>
      <c r="I36" s="10" t="str">
        <f>IF(H36=Hoja2!$B$15,"Y","N")</f>
        <v>N</v>
      </c>
      <c r="J36" s="10" t="str">
        <f t="shared" si="3"/>
        <v>N</v>
      </c>
      <c r="K36" s="10" t="str">
        <f t="shared" si="4"/>
        <v>N</v>
      </c>
      <c r="L36" s="10" t="str">
        <f t="shared" si="5"/>
        <v>N</v>
      </c>
      <c r="M36" s="209">
        <f t="shared" si="8"/>
        <v>0</v>
      </c>
      <c r="N36" s="91"/>
      <c r="O36" s="182" t="str">
        <f t="shared" si="6"/>
        <v>NO</v>
      </c>
      <c r="P36" s="182" t="str">
        <f t="shared" si="7"/>
        <v>NO</v>
      </c>
      <c r="Q36" s="182" t="str">
        <f t="shared" si="0"/>
        <v>NO</v>
      </c>
      <c r="R36" s="6">
        <f t="shared" si="1"/>
        <v>0</v>
      </c>
      <c r="S36" s="9"/>
      <c r="T36" s="8"/>
      <c r="U36" s="8"/>
      <c r="V36" s="9"/>
      <c r="W36" s="9"/>
      <c r="AB36">
        <v>362</v>
      </c>
    </row>
    <row r="37" spans="1:28">
      <c r="A37" s="5">
        <v>28</v>
      </c>
      <c r="B37" s="9"/>
      <c r="C37" s="9"/>
      <c r="D37" s="175" t="str">
        <f>IF(C37="","",VLOOKUP(C37,'Product formulation'!B:E,4,FALSE))</f>
        <v/>
      </c>
      <c r="E37" s="92"/>
      <c r="F37" s="183">
        <f t="shared" si="2"/>
        <v>0</v>
      </c>
      <c r="G37" s="9"/>
      <c r="H37" s="9"/>
      <c r="I37" s="10" t="str">
        <f>IF(H37=Hoja2!$B$15,"Y","N")</f>
        <v>N</v>
      </c>
      <c r="J37" s="10" t="str">
        <f t="shared" si="3"/>
        <v>N</v>
      </c>
      <c r="K37" s="10" t="str">
        <f t="shared" si="4"/>
        <v>N</v>
      </c>
      <c r="L37" s="10" t="str">
        <f t="shared" si="5"/>
        <v>N</v>
      </c>
      <c r="M37" s="209">
        <f t="shared" si="8"/>
        <v>0</v>
      </c>
      <c r="N37" s="91"/>
      <c r="O37" s="182" t="str">
        <f t="shared" si="6"/>
        <v>NO</v>
      </c>
      <c r="P37" s="182" t="str">
        <f t="shared" si="7"/>
        <v>NO</v>
      </c>
      <c r="Q37" s="182" t="str">
        <f t="shared" si="0"/>
        <v>NO</v>
      </c>
      <c r="R37" s="6">
        <f t="shared" si="1"/>
        <v>0</v>
      </c>
      <c r="S37" s="9"/>
      <c r="T37" s="8"/>
      <c r="U37" s="8"/>
      <c r="V37" s="9"/>
      <c r="W37" s="9"/>
    </row>
    <row r="38" spans="1:28">
      <c r="A38" s="5">
        <v>29</v>
      </c>
      <c r="B38" s="9"/>
      <c r="C38" s="9"/>
      <c r="D38" s="175" t="str">
        <f>IF(C38="","",VLOOKUP(C38,'Product formulation'!B:E,4,FALSE))</f>
        <v/>
      </c>
      <c r="E38" s="92"/>
      <c r="F38" s="183">
        <f t="shared" si="2"/>
        <v>0</v>
      </c>
      <c r="G38" s="9"/>
      <c r="H38" s="9"/>
      <c r="I38" s="10" t="str">
        <f>IF(H38=Hoja2!$B$15,"Y","N")</f>
        <v>N</v>
      </c>
      <c r="J38" s="10" t="str">
        <f t="shared" si="3"/>
        <v>N</v>
      </c>
      <c r="K38" s="10" t="str">
        <f t="shared" si="4"/>
        <v>N</v>
      </c>
      <c r="L38" s="10" t="str">
        <f t="shared" si="5"/>
        <v>N</v>
      </c>
      <c r="M38" s="209">
        <f t="shared" si="8"/>
        <v>0</v>
      </c>
      <c r="N38" s="91"/>
      <c r="O38" s="182" t="str">
        <f t="shared" si="6"/>
        <v>NO</v>
      </c>
      <c r="P38" s="182" t="str">
        <f t="shared" si="7"/>
        <v>NO</v>
      </c>
      <c r="Q38" s="182" t="str">
        <f t="shared" si="0"/>
        <v>NO</v>
      </c>
      <c r="R38" s="6">
        <f t="shared" si="1"/>
        <v>0</v>
      </c>
      <c r="S38" s="9"/>
      <c r="T38" s="8"/>
      <c r="U38" s="8"/>
      <c r="V38" s="9"/>
      <c r="W38" s="9"/>
    </row>
    <row r="39" spans="1:28">
      <c r="A39" s="5">
        <v>30</v>
      </c>
      <c r="B39" s="9"/>
      <c r="C39" s="9"/>
      <c r="D39" s="175" t="str">
        <f>IF(C39="","",VLOOKUP(C39,'Product formulation'!B:E,4,FALSE))</f>
        <v/>
      </c>
      <c r="E39" s="92"/>
      <c r="F39" s="183">
        <f t="shared" si="2"/>
        <v>0</v>
      </c>
      <c r="G39" s="9"/>
      <c r="H39" s="9"/>
      <c r="I39" s="10" t="str">
        <f>IF(H39=Hoja2!$B$15,"Y","N")</f>
        <v>N</v>
      </c>
      <c r="J39" s="10" t="str">
        <f t="shared" si="3"/>
        <v>N</v>
      </c>
      <c r="K39" s="10" t="str">
        <f t="shared" si="4"/>
        <v>N</v>
      </c>
      <c r="L39" s="10" t="str">
        <f t="shared" si="5"/>
        <v>N</v>
      </c>
      <c r="M39" s="209">
        <f t="shared" si="8"/>
        <v>0</v>
      </c>
      <c r="N39" s="91"/>
      <c r="O39" s="182" t="str">
        <f t="shared" si="6"/>
        <v>NO</v>
      </c>
      <c r="P39" s="182" t="str">
        <f t="shared" si="7"/>
        <v>NO</v>
      </c>
      <c r="Q39" s="182" t="str">
        <f t="shared" si="0"/>
        <v>NO</v>
      </c>
      <c r="R39" s="6">
        <f t="shared" si="1"/>
        <v>0</v>
      </c>
      <c r="S39" s="9"/>
      <c r="T39" s="8"/>
      <c r="U39" s="8"/>
      <c r="V39" s="9"/>
      <c r="W39" s="9"/>
    </row>
    <row r="40" spans="1:28">
      <c r="A40" s="5">
        <v>31</v>
      </c>
      <c r="B40" s="9"/>
      <c r="C40" s="9"/>
      <c r="D40" s="175" t="str">
        <f>IF(C40="","",VLOOKUP(C40,'Product formulation'!B:E,4,FALSE))</f>
        <v/>
      </c>
      <c r="E40" s="92"/>
      <c r="F40" s="183">
        <f t="shared" si="2"/>
        <v>0</v>
      </c>
      <c r="G40" s="9"/>
      <c r="H40" s="9"/>
      <c r="I40" s="10" t="str">
        <f>IF(H40=Hoja2!$B$15,"Y","N")</f>
        <v>N</v>
      </c>
      <c r="J40" s="10" t="str">
        <f t="shared" si="3"/>
        <v>N</v>
      </c>
      <c r="K40" s="10" t="str">
        <f t="shared" si="4"/>
        <v>N</v>
      </c>
      <c r="L40" s="10" t="str">
        <f t="shared" si="5"/>
        <v>N</v>
      </c>
      <c r="M40" s="209">
        <f t="shared" si="8"/>
        <v>0</v>
      </c>
      <c r="N40" s="91"/>
      <c r="O40" s="182" t="str">
        <f t="shared" si="6"/>
        <v>NO</v>
      </c>
      <c r="P40" s="182" t="str">
        <f t="shared" si="7"/>
        <v>NO</v>
      </c>
      <c r="Q40" s="182" t="str">
        <f t="shared" si="0"/>
        <v>NO</v>
      </c>
      <c r="R40" s="6">
        <f t="shared" si="1"/>
        <v>0</v>
      </c>
      <c r="S40" s="9"/>
      <c r="T40" s="8"/>
      <c r="U40" s="8"/>
      <c r="V40" s="9"/>
      <c r="W40" s="9"/>
    </row>
    <row r="41" spans="1:28">
      <c r="A41" s="5">
        <v>32</v>
      </c>
      <c r="B41" s="9"/>
      <c r="C41" s="9"/>
      <c r="D41" s="175" t="str">
        <f>IF(C41="","",VLOOKUP(C41,'Product formulation'!B:E,4,FALSE))</f>
        <v/>
      </c>
      <c r="E41" s="92"/>
      <c r="F41" s="183">
        <f t="shared" si="2"/>
        <v>0</v>
      </c>
      <c r="G41" s="9"/>
      <c r="H41" s="9"/>
      <c r="I41" s="10" t="str">
        <f>IF(H41=Hoja2!$B$15,"Y","N")</f>
        <v>N</v>
      </c>
      <c r="J41" s="10" t="str">
        <f t="shared" si="3"/>
        <v>N</v>
      </c>
      <c r="K41" s="10" t="str">
        <f t="shared" si="4"/>
        <v>N</v>
      </c>
      <c r="L41" s="10" t="str">
        <f t="shared" si="5"/>
        <v>N</v>
      </c>
      <c r="M41" s="209">
        <f t="shared" si="8"/>
        <v>0</v>
      </c>
      <c r="N41" s="91"/>
      <c r="O41" s="182" t="str">
        <f t="shared" si="6"/>
        <v>NO</v>
      </c>
      <c r="P41" s="182" t="str">
        <f t="shared" si="7"/>
        <v>NO</v>
      </c>
      <c r="Q41" s="182" t="str">
        <f t="shared" si="0"/>
        <v>NO</v>
      </c>
      <c r="R41" s="6">
        <f t="shared" si="1"/>
        <v>0</v>
      </c>
      <c r="S41" s="9"/>
      <c r="T41" s="8"/>
      <c r="U41" s="8"/>
      <c r="V41" s="9"/>
      <c r="W41" s="9"/>
    </row>
    <row r="42" spans="1:28">
      <c r="A42" s="5">
        <v>33</v>
      </c>
      <c r="B42" s="9"/>
      <c r="C42" s="9"/>
      <c r="D42" s="175" t="str">
        <f>IF(C42="","",VLOOKUP(C42,'Product formulation'!B:E,4,FALSE))</f>
        <v/>
      </c>
      <c r="E42" s="92"/>
      <c r="F42" s="183">
        <f t="shared" si="2"/>
        <v>0</v>
      </c>
      <c r="G42" s="9"/>
      <c r="H42" s="9"/>
      <c r="I42" s="10" t="str">
        <f>IF(H42=Hoja2!$B$15,"Y","N")</f>
        <v>N</v>
      </c>
      <c r="J42" s="10" t="str">
        <f t="shared" si="3"/>
        <v>N</v>
      </c>
      <c r="K42" s="10" t="str">
        <f t="shared" si="4"/>
        <v>N</v>
      </c>
      <c r="L42" s="10" t="str">
        <f t="shared" si="5"/>
        <v>N</v>
      </c>
      <c r="M42" s="209">
        <f t="shared" si="8"/>
        <v>0</v>
      </c>
      <c r="N42" s="91"/>
      <c r="O42" s="182" t="str">
        <f t="shared" si="6"/>
        <v>NO</v>
      </c>
      <c r="P42" s="182" t="str">
        <f t="shared" si="7"/>
        <v>NO</v>
      </c>
      <c r="Q42" s="182" t="str">
        <f t="shared" si="0"/>
        <v>NO</v>
      </c>
      <c r="R42" s="6">
        <f t="shared" si="1"/>
        <v>0</v>
      </c>
      <c r="S42" s="9"/>
      <c r="T42" s="8"/>
      <c r="U42" s="8"/>
      <c r="V42" s="9"/>
      <c r="W42" s="9"/>
    </row>
    <row r="43" spans="1:28">
      <c r="A43" s="5">
        <v>34</v>
      </c>
      <c r="B43" s="9"/>
      <c r="C43" s="9"/>
      <c r="D43" s="175" t="str">
        <f>IF(C43="","",VLOOKUP(C43,'Product formulation'!B:E,4,FALSE))</f>
        <v/>
      </c>
      <c r="E43" s="92"/>
      <c r="F43" s="183">
        <f t="shared" si="2"/>
        <v>0</v>
      </c>
      <c r="G43" s="9"/>
      <c r="H43" s="9"/>
      <c r="I43" s="10" t="str">
        <f>IF(H43=Hoja2!$B$15,"Y","N")</f>
        <v>N</v>
      </c>
      <c r="J43" s="10" t="str">
        <f t="shared" si="3"/>
        <v>N</v>
      </c>
      <c r="K43" s="10" t="str">
        <f t="shared" si="4"/>
        <v>N</v>
      </c>
      <c r="L43" s="10" t="str">
        <f t="shared" si="5"/>
        <v>N</v>
      </c>
      <c r="M43" s="209">
        <f t="shared" si="8"/>
        <v>0</v>
      </c>
      <c r="N43" s="91"/>
      <c r="O43" s="182" t="str">
        <f t="shared" si="6"/>
        <v>NO</v>
      </c>
      <c r="P43" s="182" t="str">
        <f t="shared" si="7"/>
        <v>NO</v>
      </c>
      <c r="Q43" s="182" t="str">
        <f t="shared" ref="Q43:Q59" si="9">IF(H43="Surfactant","NO",IF(ISNUMBER(SEARCH(412,$N43)),"YES","NO"))</f>
        <v>NO</v>
      </c>
      <c r="R43" s="6">
        <f t="shared" ref="R43:R59" si="10">IF(O43="YES",M43*100,"0")+IF(P43="YES",M43*10,"0")+IF(Q43="YES",M43,"0")</f>
        <v>0</v>
      </c>
      <c r="S43" s="9"/>
      <c r="T43" s="8"/>
      <c r="U43" s="8"/>
      <c r="V43" s="9"/>
      <c r="W43" s="9"/>
    </row>
    <row r="44" spans="1:28">
      <c r="A44" s="5">
        <v>35</v>
      </c>
      <c r="B44" s="9"/>
      <c r="C44" s="9"/>
      <c r="D44" s="175" t="str">
        <f>IF(C44="","",VLOOKUP(C44,'Product formulation'!B:E,4,FALSE))</f>
        <v/>
      </c>
      <c r="E44" s="92"/>
      <c r="F44" s="183">
        <f t="shared" si="2"/>
        <v>0</v>
      </c>
      <c r="G44" s="9"/>
      <c r="H44" s="9"/>
      <c r="I44" s="10" t="str">
        <f>IF(H44=Hoja2!$B$15,"Y","N")</f>
        <v>N</v>
      </c>
      <c r="J44" s="10" t="str">
        <f t="shared" si="3"/>
        <v>N</v>
      </c>
      <c r="K44" s="10" t="str">
        <f t="shared" si="4"/>
        <v>N</v>
      </c>
      <c r="L44" s="10" t="str">
        <f t="shared" si="5"/>
        <v>N</v>
      </c>
      <c r="M44" s="209">
        <f t="shared" si="8"/>
        <v>0</v>
      </c>
      <c r="N44" s="91"/>
      <c r="O44" s="182" t="str">
        <f t="shared" si="6"/>
        <v>NO</v>
      </c>
      <c r="P44" s="182" t="str">
        <f t="shared" si="7"/>
        <v>NO</v>
      </c>
      <c r="Q44" s="182" t="str">
        <f t="shared" si="9"/>
        <v>NO</v>
      </c>
      <c r="R44" s="6">
        <f t="shared" si="10"/>
        <v>0</v>
      </c>
      <c r="S44" s="9"/>
      <c r="T44" s="8"/>
      <c r="U44" s="8"/>
      <c r="V44" s="9"/>
      <c r="W44" s="9"/>
    </row>
    <row r="45" spans="1:28">
      <c r="A45" s="5">
        <v>36</v>
      </c>
      <c r="B45" s="9"/>
      <c r="C45" s="9"/>
      <c r="D45" s="175" t="str">
        <f>IF(C45="","",VLOOKUP(C45,'Product formulation'!B:E,4,FALSE))</f>
        <v/>
      </c>
      <c r="E45" s="92"/>
      <c r="F45" s="183">
        <f t="shared" si="2"/>
        <v>0</v>
      </c>
      <c r="G45" s="9"/>
      <c r="H45" s="9"/>
      <c r="I45" s="10" t="str">
        <f>IF(H45=Hoja2!$B$15,"Y","N")</f>
        <v>N</v>
      </c>
      <c r="J45" s="10" t="str">
        <f t="shared" si="3"/>
        <v>N</v>
      </c>
      <c r="K45" s="10" t="str">
        <f t="shared" si="4"/>
        <v>N</v>
      </c>
      <c r="L45" s="10" t="str">
        <f t="shared" si="5"/>
        <v>N</v>
      </c>
      <c r="M45" s="209">
        <f t="shared" si="8"/>
        <v>0</v>
      </c>
      <c r="N45" s="91"/>
      <c r="O45" s="182" t="str">
        <f t="shared" si="6"/>
        <v>NO</v>
      </c>
      <c r="P45" s="182" t="str">
        <f t="shared" si="7"/>
        <v>NO</v>
      </c>
      <c r="Q45" s="182" t="str">
        <f t="shared" si="9"/>
        <v>NO</v>
      </c>
      <c r="R45" s="6">
        <f t="shared" si="10"/>
        <v>0</v>
      </c>
      <c r="S45" s="9"/>
      <c r="T45" s="8"/>
      <c r="U45" s="8"/>
      <c r="V45" s="9"/>
      <c r="W45" s="9"/>
    </row>
    <row r="46" spans="1:28">
      <c r="A46" s="5">
        <v>37</v>
      </c>
      <c r="B46" s="9"/>
      <c r="C46" s="9"/>
      <c r="D46" s="175" t="str">
        <f>IF(C46="","",VLOOKUP(C46,'Product formulation'!B:E,4,FALSE))</f>
        <v/>
      </c>
      <c r="E46" s="92"/>
      <c r="F46" s="183">
        <f t="shared" si="2"/>
        <v>0</v>
      </c>
      <c r="G46" s="9"/>
      <c r="H46" s="9"/>
      <c r="I46" s="10" t="str">
        <f>IF(H46=Hoja2!$B$15,"Y","N")</f>
        <v>N</v>
      </c>
      <c r="J46" s="10" t="str">
        <f t="shared" si="3"/>
        <v>N</v>
      </c>
      <c r="K46" s="10" t="str">
        <f t="shared" si="4"/>
        <v>N</v>
      </c>
      <c r="L46" s="10" t="str">
        <f t="shared" si="5"/>
        <v>N</v>
      </c>
      <c r="M46" s="209">
        <f t="shared" si="8"/>
        <v>0</v>
      </c>
      <c r="N46" s="91"/>
      <c r="O46" s="182" t="str">
        <f t="shared" si="6"/>
        <v>NO</v>
      </c>
      <c r="P46" s="182" t="str">
        <f t="shared" si="7"/>
        <v>NO</v>
      </c>
      <c r="Q46" s="182" t="str">
        <f t="shared" si="9"/>
        <v>NO</v>
      </c>
      <c r="R46" s="6">
        <f t="shared" si="10"/>
        <v>0</v>
      </c>
      <c r="S46" s="9"/>
      <c r="T46" s="8"/>
      <c r="U46" s="8"/>
      <c r="V46" s="9"/>
      <c r="W46" s="9"/>
    </row>
    <row r="47" spans="1:28">
      <c r="A47" s="5">
        <v>38</v>
      </c>
      <c r="B47" s="9"/>
      <c r="C47" s="9"/>
      <c r="D47" s="175" t="str">
        <f>IF(C47="","",VLOOKUP(C47,'Product formulation'!B:E,4,FALSE))</f>
        <v/>
      </c>
      <c r="E47" s="92"/>
      <c r="F47" s="183">
        <f t="shared" si="2"/>
        <v>0</v>
      </c>
      <c r="G47" s="9"/>
      <c r="H47" s="9"/>
      <c r="I47" s="10" t="str">
        <f>IF(H47=Hoja2!$B$15,"Y","N")</f>
        <v>N</v>
      </c>
      <c r="J47" s="10" t="str">
        <f t="shared" si="3"/>
        <v>N</v>
      </c>
      <c r="K47" s="10" t="str">
        <f t="shared" si="4"/>
        <v>N</v>
      </c>
      <c r="L47" s="10" t="str">
        <f t="shared" si="5"/>
        <v>N</v>
      </c>
      <c r="M47" s="209">
        <f t="shared" si="8"/>
        <v>0</v>
      </c>
      <c r="N47" s="91"/>
      <c r="O47" s="182" t="str">
        <f t="shared" si="6"/>
        <v>NO</v>
      </c>
      <c r="P47" s="182" t="str">
        <f t="shared" si="7"/>
        <v>NO</v>
      </c>
      <c r="Q47" s="182" t="str">
        <f t="shared" si="9"/>
        <v>NO</v>
      </c>
      <c r="R47" s="6">
        <f t="shared" si="10"/>
        <v>0</v>
      </c>
      <c r="S47" s="9"/>
      <c r="T47" s="8"/>
      <c r="U47" s="8"/>
      <c r="V47" s="9"/>
      <c r="W47" s="9"/>
    </row>
    <row r="48" spans="1:28">
      <c r="A48" s="5">
        <v>39</v>
      </c>
      <c r="B48" s="9"/>
      <c r="C48" s="9"/>
      <c r="D48" s="175" t="str">
        <f>IF(C48="","",VLOOKUP(C48,'Product formulation'!B:E,4,FALSE))</f>
        <v/>
      </c>
      <c r="E48" s="92"/>
      <c r="F48" s="183">
        <f t="shared" si="2"/>
        <v>0</v>
      </c>
      <c r="G48" s="9"/>
      <c r="H48" s="9"/>
      <c r="I48" s="10" t="str">
        <f>IF(H48=Hoja2!$B$15,"Y","N")</f>
        <v>N</v>
      </c>
      <c r="J48" s="10" t="str">
        <f t="shared" si="3"/>
        <v>N</v>
      </c>
      <c r="K48" s="10" t="str">
        <f t="shared" si="4"/>
        <v>N</v>
      </c>
      <c r="L48" s="10" t="str">
        <f t="shared" si="5"/>
        <v>N</v>
      </c>
      <c r="M48" s="209">
        <f t="shared" si="8"/>
        <v>0</v>
      </c>
      <c r="N48" s="91"/>
      <c r="O48" s="182" t="str">
        <f t="shared" si="6"/>
        <v>NO</v>
      </c>
      <c r="P48" s="182" t="str">
        <f t="shared" si="7"/>
        <v>NO</v>
      </c>
      <c r="Q48" s="182" t="str">
        <f t="shared" si="9"/>
        <v>NO</v>
      </c>
      <c r="R48" s="6">
        <f t="shared" si="10"/>
        <v>0</v>
      </c>
      <c r="S48" s="9"/>
      <c r="T48" s="8"/>
      <c r="U48" s="8"/>
      <c r="V48" s="9"/>
      <c r="W48" s="9"/>
    </row>
    <row r="49" spans="1:23">
      <c r="A49" s="5">
        <v>40</v>
      </c>
      <c r="B49" s="9"/>
      <c r="C49" s="9"/>
      <c r="D49" s="175" t="str">
        <f>IF(C49="","",VLOOKUP(C49,'Product formulation'!B:E,4,FALSE))</f>
        <v/>
      </c>
      <c r="E49" s="92"/>
      <c r="F49" s="183">
        <f t="shared" si="2"/>
        <v>0</v>
      </c>
      <c r="G49" s="9"/>
      <c r="H49" s="9"/>
      <c r="I49" s="10" t="str">
        <f>IF(H49=Hoja2!$B$15,"Y","N")</f>
        <v>N</v>
      </c>
      <c r="J49" s="10" t="str">
        <f t="shared" si="3"/>
        <v>N</v>
      </c>
      <c r="K49" s="10" t="str">
        <f t="shared" si="4"/>
        <v>N</v>
      </c>
      <c r="L49" s="10" t="str">
        <f t="shared" si="5"/>
        <v>N</v>
      </c>
      <c r="M49" s="209">
        <f t="shared" si="8"/>
        <v>0</v>
      </c>
      <c r="N49" s="91"/>
      <c r="O49" s="182" t="str">
        <f t="shared" si="6"/>
        <v>NO</v>
      </c>
      <c r="P49" s="182" t="str">
        <f t="shared" si="7"/>
        <v>NO</v>
      </c>
      <c r="Q49" s="182" t="str">
        <f t="shared" si="9"/>
        <v>NO</v>
      </c>
      <c r="R49" s="6">
        <f t="shared" si="10"/>
        <v>0</v>
      </c>
      <c r="S49" s="9"/>
      <c r="T49" s="8"/>
      <c r="U49" s="8"/>
      <c r="V49" s="9"/>
      <c r="W49" s="9"/>
    </row>
    <row r="50" spans="1:23">
      <c r="A50" s="5">
        <v>41</v>
      </c>
      <c r="B50" s="9"/>
      <c r="C50" s="9"/>
      <c r="D50" s="175" t="str">
        <f>IF(C50="","",VLOOKUP(C50,'Product formulation'!B:E,4,FALSE))</f>
        <v/>
      </c>
      <c r="E50" s="92"/>
      <c r="F50" s="183">
        <f t="shared" si="2"/>
        <v>0</v>
      </c>
      <c r="G50" s="9"/>
      <c r="H50" s="9"/>
      <c r="I50" s="10" t="str">
        <f>IF(H50=Hoja2!$B$15,"Y","N")</f>
        <v>N</v>
      </c>
      <c r="J50" s="10" t="str">
        <f t="shared" si="3"/>
        <v>N</v>
      </c>
      <c r="K50" s="10" t="str">
        <f t="shared" si="4"/>
        <v>N</v>
      </c>
      <c r="L50" s="10" t="str">
        <f t="shared" si="5"/>
        <v>N</v>
      </c>
      <c r="M50" s="209">
        <f t="shared" si="8"/>
        <v>0</v>
      </c>
      <c r="N50" s="91"/>
      <c r="O50" s="182" t="str">
        <f t="shared" si="6"/>
        <v>NO</v>
      </c>
      <c r="P50" s="182" t="str">
        <f t="shared" si="7"/>
        <v>NO</v>
      </c>
      <c r="Q50" s="182" t="str">
        <f t="shared" si="9"/>
        <v>NO</v>
      </c>
      <c r="R50" s="6">
        <f t="shared" si="10"/>
        <v>0</v>
      </c>
      <c r="S50" s="9"/>
      <c r="T50" s="8"/>
      <c r="U50" s="8"/>
      <c r="V50" s="9"/>
      <c r="W50" s="9"/>
    </row>
    <row r="51" spans="1:23">
      <c r="A51" s="5">
        <v>42</v>
      </c>
      <c r="B51" s="9"/>
      <c r="C51" s="9"/>
      <c r="D51" s="175" t="str">
        <f>IF(C51="","",VLOOKUP(C51,'Product formulation'!B:E,4,FALSE))</f>
        <v/>
      </c>
      <c r="E51" s="92"/>
      <c r="F51" s="183">
        <f t="shared" si="2"/>
        <v>0</v>
      </c>
      <c r="G51" s="9"/>
      <c r="H51" s="9"/>
      <c r="I51" s="10" t="str">
        <f>IF(H51=Hoja2!$B$15,"Y","N")</f>
        <v>N</v>
      </c>
      <c r="J51" s="10" t="str">
        <f t="shared" si="3"/>
        <v>N</v>
      </c>
      <c r="K51" s="10" t="str">
        <f t="shared" si="4"/>
        <v>N</v>
      </c>
      <c r="L51" s="10" t="str">
        <f t="shared" si="5"/>
        <v>N</v>
      </c>
      <c r="M51" s="209">
        <f t="shared" si="8"/>
        <v>0</v>
      </c>
      <c r="N51" s="91"/>
      <c r="O51" s="182" t="str">
        <f t="shared" si="6"/>
        <v>NO</v>
      </c>
      <c r="P51" s="182" t="str">
        <f t="shared" si="7"/>
        <v>NO</v>
      </c>
      <c r="Q51" s="182" t="str">
        <f t="shared" si="9"/>
        <v>NO</v>
      </c>
      <c r="R51" s="6">
        <f t="shared" si="10"/>
        <v>0</v>
      </c>
      <c r="S51" s="9"/>
      <c r="T51" s="8"/>
      <c r="U51" s="8"/>
      <c r="V51" s="9"/>
      <c r="W51" s="9"/>
    </row>
    <row r="52" spans="1:23">
      <c r="A52" s="5">
        <v>43</v>
      </c>
      <c r="B52" s="9"/>
      <c r="C52" s="9"/>
      <c r="D52" s="175" t="str">
        <f>IF(C52="","",VLOOKUP(C52,'Product formulation'!B:E,4,FALSE))</f>
        <v/>
      </c>
      <c r="E52" s="92"/>
      <c r="F52" s="183">
        <f t="shared" si="2"/>
        <v>0</v>
      </c>
      <c r="G52" s="9"/>
      <c r="H52" s="9"/>
      <c r="I52" s="10" t="str">
        <f>IF(H52=Hoja2!$B$15,"Y","N")</f>
        <v>N</v>
      </c>
      <c r="J52" s="10" t="str">
        <f t="shared" si="3"/>
        <v>N</v>
      </c>
      <c r="K52" s="10" t="str">
        <f t="shared" si="4"/>
        <v>N</v>
      </c>
      <c r="L52" s="10" t="str">
        <f t="shared" si="5"/>
        <v>N</v>
      </c>
      <c r="M52" s="209">
        <f t="shared" si="8"/>
        <v>0</v>
      </c>
      <c r="N52" s="91"/>
      <c r="O52" s="182" t="str">
        <f t="shared" si="6"/>
        <v>NO</v>
      </c>
      <c r="P52" s="182" t="str">
        <f t="shared" si="7"/>
        <v>NO</v>
      </c>
      <c r="Q52" s="182" t="str">
        <f t="shared" si="9"/>
        <v>NO</v>
      </c>
      <c r="R52" s="6">
        <f t="shared" si="10"/>
        <v>0</v>
      </c>
      <c r="S52" s="9"/>
      <c r="T52" s="8"/>
      <c r="U52" s="8"/>
      <c r="V52" s="9"/>
      <c r="W52" s="9"/>
    </row>
    <row r="53" spans="1:23">
      <c r="A53" s="5">
        <v>44</v>
      </c>
      <c r="B53" s="9"/>
      <c r="C53" s="9"/>
      <c r="D53" s="175" t="str">
        <f>IF(C53="","",VLOOKUP(C53,'Product formulation'!B:E,4,FALSE))</f>
        <v/>
      </c>
      <c r="E53" s="92"/>
      <c r="F53" s="183">
        <f t="shared" si="2"/>
        <v>0</v>
      </c>
      <c r="G53" s="9"/>
      <c r="H53" s="9"/>
      <c r="I53" s="10" t="str">
        <f>IF(H53=Hoja2!$B$15,"Y","N")</f>
        <v>N</v>
      </c>
      <c r="J53" s="10" t="str">
        <f t="shared" si="3"/>
        <v>N</v>
      </c>
      <c r="K53" s="10" t="str">
        <f t="shared" si="4"/>
        <v>N</v>
      </c>
      <c r="L53" s="10" t="str">
        <f t="shared" si="5"/>
        <v>N</v>
      </c>
      <c r="M53" s="209">
        <f t="shared" si="8"/>
        <v>0</v>
      </c>
      <c r="N53" s="91"/>
      <c r="O53" s="182" t="str">
        <f t="shared" si="6"/>
        <v>NO</v>
      </c>
      <c r="P53" s="182" t="str">
        <f t="shared" si="7"/>
        <v>NO</v>
      </c>
      <c r="Q53" s="182" t="str">
        <f t="shared" si="9"/>
        <v>NO</v>
      </c>
      <c r="R53" s="6">
        <f t="shared" si="10"/>
        <v>0</v>
      </c>
      <c r="S53" s="9"/>
      <c r="T53" s="8"/>
      <c r="U53" s="8"/>
      <c r="V53" s="9"/>
      <c r="W53" s="9"/>
    </row>
    <row r="54" spans="1:23">
      <c r="A54" s="5">
        <v>45</v>
      </c>
      <c r="B54" s="9"/>
      <c r="C54" s="9"/>
      <c r="D54" s="175" t="str">
        <f>IF(C54="","",VLOOKUP(C54,'Product formulation'!B:E,4,FALSE))</f>
        <v/>
      </c>
      <c r="E54" s="92"/>
      <c r="F54" s="183">
        <f t="shared" si="2"/>
        <v>0</v>
      </c>
      <c r="G54" s="9"/>
      <c r="H54" s="9"/>
      <c r="I54" s="10" t="str">
        <f>IF(H54=Hoja2!$B$15,"Y","N")</f>
        <v>N</v>
      </c>
      <c r="J54" s="10" t="str">
        <f t="shared" si="3"/>
        <v>N</v>
      </c>
      <c r="K54" s="10" t="str">
        <f t="shared" si="4"/>
        <v>N</v>
      </c>
      <c r="L54" s="10" t="str">
        <f t="shared" si="5"/>
        <v>N</v>
      </c>
      <c r="M54" s="209">
        <f t="shared" si="8"/>
        <v>0</v>
      </c>
      <c r="N54" s="91"/>
      <c r="O54" s="182" t="str">
        <f t="shared" si="6"/>
        <v>NO</v>
      </c>
      <c r="P54" s="182" t="str">
        <f t="shared" si="7"/>
        <v>NO</v>
      </c>
      <c r="Q54" s="182" t="str">
        <f t="shared" si="9"/>
        <v>NO</v>
      </c>
      <c r="R54" s="6">
        <f t="shared" si="10"/>
        <v>0</v>
      </c>
      <c r="S54" s="9"/>
      <c r="T54" s="8"/>
      <c r="U54" s="8"/>
      <c r="V54" s="9"/>
      <c r="W54" s="9"/>
    </row>
    <row r="55" spans="1:23">
      <c r="A55" s="5">
        <v>46</v>
      </c>
      <c r="B55" s="9"/>
      <c r="C55" s="9"/>
      <c r="D55" s="175" t="str">
        <f>IF(C55="","",VLOOKUP(C55,'Product formulation'!B:E,4,FALSE))</f>
        <v/>
      </c>
      <c r="E55" s="92"/>
      <c r="F55" s="183">
        <f t="shared" si="2"/>
        <v>0</v>
      </c>
      <c r="G55" s="9"/>
      <c r="H55" s="9"/>
      <c r="I55" s="10" t="str">
        <f>IF(H55=Hoja2!$B$15,"Y","N")</f>
        <v>N</v>
      </c>
      <c r="J55" s="10" t="str">
        <f t="shared" si="3"/>
        <v>N</v>
      </c>
      <c r="K55" s="10" t="str">
        <f t="shared" si="4"/>
        <v>N</v>
      </c>
      <c r="L55" s="10" t="str">
        <f t="shared" si="5"/>
        <v>N</v>
      </c>
      <c r="M55" s="209">
        <f t="shared" si="8"/>
        <v>0</v>
      </c>
      <c r="N55" s="91"/>
      <c r="O55" s="182" t="str">
        <f t="shared" si="6"/>
        <v>NO</v>
      </c>
      <c r="P55" s="182" t="str">
        <f t="shared" si="7"/>
        <v>NO</v>
      </c>
      <c r="Q55" s="182" t="str">
        <f t="shared" si="9"/>
        <v>NO</v>
      </c>
      <c r="R55" s="6">
        <f t="shared" si="10"/>
        <v>0</v>
      </c>
      <c r="S55" s="9"/>
      <c r="T55" s="8"/>
      <c r="U55" s="8"/>
      <c r="V55" s="9"/>
      <c r="W55" s="9"/>
    </row>
    <row r="56" spans="1:23">
      <c r="A56" s="5">
        <v>47</v>
      </c>
      <c r="B56" s="9"/>
      <c r="C56" s="9"/>
      <c r="D56" s="175" t="str">
        <f>IF(C56="","",VLOOKUP(C56,'Product formulation'!B:E,4,FALSE))</f>
        <v/>
      </c>
      <c r="E56" s="92"/>
      <c r="F56" s="183">
        <f t="shared" si="2"/>
        <v>0</v>
      </c>
      <c r="G56" s="9"/>
      <c r="H56" s="9"/>
      <c r="I56" s="10" t="str">
        <f>IF(H56=Hoja2!$B$15,"Y","N")</f>
        <v>N</v>
      </c>
      <c r="J56" s="10" t="str">
        <f t="shared" si="3"/>
        <v>N</v>
      </c>
      <c r="K56" s="10" t="str">
        <f t="shared" si="4"/>
        <v>N</v>
      </c>
      <c r="L56" s="10" t="str">
        <f t="shared" si="5"/>
        <v>N</v>
      </c>
      <c r="M56" s="209">
        <f t="shared" si="8"/>
        <v>0</v>
      </c>
      <c r="N56" s="91"/>
      <c r="O56" s="182" t="str">
        <f t="shared" si="6"/>
        <v>NO</v>
      </c>
      <c r="P56" s="182" t="str">
        <f t="shared" si="7"/>
        <v>NO</v>
      </c>
      <c r="Q56" s="182" t="str">
        <f t="shared" si="9"/>
        <v>NO</v>
      </c>
      <c r="R56" s="6">
        <f t="shared" si="10"/>
        <v>0</v>
      </c>
      <c r="S56" s="9"/>
      <c r="T56" s="8"/>
      <c r="U56" s="8"/>
      <c r="V56" s="9"/>
      <c r="W56" s="9"/>
    </row>
    <row r="57" spans="1:23">
      <c r="A57" s="5">
        <v>48</v>
      </c>
      <c r="B57" s="9"/>
      <c r="C57" s="9"/>
      <c r="D57" s="175" t="str">
        <f>IF(C57="","",VLOOKUP(C57,'Product formulation'!B:E,4,FALSE))</f>
        <v/>
      </c>
      <c r="E57" s="92"/>
      <c r="F57" s="183">
        <f t="shared" si="2"/>
        <v>0</v>
      </c>
      <c r="G57" s="9"/>
      <c r="H57" s="9"/>
      <c r="I57" s="10" t="str">
        <f>IF(H57=Hoja2!$B$15,"Y","N")</f>
        <v>N</v>
      </c>
      <c r="J57" s="10" t="str">
        <f t="shared" si="3"/>
        <v>N</v>
      </c>
      <c r="K57" s="10" t="str">
        <f t="shared" si="4"/>
        <v>N</v>
      </c>
      <c r="L57" s="10" t="str">
        <f t="shared" si="5"/>
        <v>N</v>
      </c>
      <c r="M57" s="209">
        <f t="shared" si="8"/>
        <v>0</v>
      </c>
      <c r="N57" s="91"/>
      <c r="O57" s="182" t="str">
        <f t="shared" si="6"/>
        <v>NO</v>
      </c>
      <c r="P57" s="182" t="str">
        <f t="shared" si="7"/>
        <v>NO</v>
      </c>
      <c r="Q57" s="182" t="str">
        <f t="shared" si="9"/>
        <v>NO</v>
      </c>
      <c r="R57" s="6">
        <f t="shared" si="10"/>
        <v>0</v>
      </c>
      <c r="S57" s="9"/>
      <c r="T57" s="8"/>
      <c r="U57" s="8"/>
      <c r="V57" s="9"/>
      <c r="W57" s="9"/>
    </row>
    <row r="58" spans="1:23">
      <c r="A58" s="5">
        <v>49</v>
      </c>
      <c r="B58" s="9"/>
      <c r="C58" s="9"/>
      <c r="D58" s="175" t="str">
        <f>IF(C58="","",VLOOKUP(C58,'Product formulation'!B:E,4,FALSE))</f>
        <v/>
      </c>
      <c r="E58" s="92"/>
      <c r="F58" s="183">
        <f t="shared" si="2"/>
        <v>0</v>
      </c>
      <c r="G58" s="9"/>
      <c r="H58" s="9"/>
      <c r="I58" s="10" t="str">
        <f>IF(H58=Hoja2!$B$15,"Y","N")</f>
        <v>N</v>
      </c>
      <c r="J58" s="10" t="str">
        <f t="shared" si="3"/>
        <v>N</v>
      </c>
      <c r="K58" s="10" t="str">
        <f t="shared" si="4"/>
        <v>N</v>
      </c>
      <c r="L58" s="10" t="str">
        <f t="shared" si="5"/>
        <v>N</v>
      </c>
      <c r="M58" s="209">
        <f t="shared" si="8"/>
        <v>0</v>
      </c>
      <c r="N58" s="91"/>
      <c r="O58" s="182" t="str">
        <f t="shared" si="6"/>
        <v>NO</v>
      </c>
      <c r="P58" s="182" t="str">
        <f t="shared" si="7"/>
        <v>NO</v>
      </c>
      <c r="Q58" s="182" t="str">
        <f t="shared" si="9"/>
        <v>NO</v>
      </c>
      <c r="R58" s="6">
        <f t="shared" si="10"/>
        <v>0</v>
      </c>
      <c r="S58" s="9"/>
      <c r="T58" s="8"/>
      <c r="U58" s="8"/>
      <c r="V58" s="9"/>
      <c r="W58" s="9"/>
    </row>
    <row r="59" spans="1:23" ht="13.5" thickBot="1">
      <c r="A59" s="5">
        <v>50</v>
      </c>
      <c r="B59" s="9"/>
      <c r="C59" s="9"/>
      <c r="D59" s="175" t="str">
        <f>IF(C59="","",VLOOKUP(C59,'Product formulation'!B:E,4,FALSE))</f>
        <v/>
      </c>
      <c r="E59" s="92"/>
      <c r="F59" s="183">
        <f t="shared" si="2"/>
        <v>0</v>
      </c>
      <c r="G59" s="9"/>
      <c r="H59" s="9"/>
      <c r="I59" s="10" t="str">
        <f>IF(H59=Hoja2!$B$15,"Y","N")</f>
        <v>N</v>
      </c>
      <c r="J59" s="10" t="str">
        <f t="shared" si="3"/>
        <v>N</v>
      </c>
      <c r="K59" s="10" t="str">
        <f t="shared" si="4"/>
        <v>N</v>
      </c>
      <c r="L59" s="10" t="str">
        <f t="shared" si="5"/>
        <v>N</v>
      </c>
      <c r="M59" s="209">
        <f t="shared" si="8"/>
        <v>0</v>
      </c>
      <c r="N59" s="91"/>
      <c r="O59" s="182" t="str">
        <f t="shared" si="6"/>
        <v>NO</v>
      </c>
      <c r="P59" s="182" t="str">
        <f t="shared" si="7"/>
        <v>NO</v>
      </c>
      <c r="Q59" s="182" t="str">
        <f t="shared" si="9"/>
        <v>NO</v>
      </c>
      <c r="R59" s="6">
        <f t="shared" si="10"/>
        <v>0</v>
      </c>
      <c r="S59" s="9"/>
      <c r="T59" s="8"/>
      <c r="U59" s="8"/>
      <c r="V59" s="9"/>
      <c r="W59" s="9"/>
    </row>
    <row r="60" spans="1:23" ht="18.75" thickBot="1">
      <c r="B60" s="3" t="s">
        <v>27</v>
      </c>
      <c r="M60" s="210">
        <f>SUM(M10:M59)</f>
        <v>0</v>
      </c>
      <c r="R60" s="2">
        <f>SUM(R11:R59)</f>
        <v>0</v>
      </c>
    </row>
    <row r="62" spans="1:23">
      <c r="B62" s="2" t="s">
        <v>410</v>
      </c>
    </row>
    <row r="63" spans="1:23">
      <c r="B63" s="311"/>
      <c r="C63" s="312"/>
      <c r="D63" s="312"/>
      <c r="E63" s="312"/>
      <c r="F63" s="312"/>
      <c r="G63" s="312"/>
      <c r="H63" s="313"/>
    </row>
    <row r="64" spans="1:23">
      <c r="B64" s="314"/>
      <c r="C64" s="315"/>
      <c r="D64" s="315"/>
      <c r="E64" s="315"/>
      <c r="F64" s="315"/>
      <c r="G64" s="315"/>
      <c r="H64" s="316"/>
    </row>
    <row r="65" spans="2:8">
      <c r="B65" s="314"/>
      <c r="C65" s="315"/>
      <c r="D65" s="315"/>
      <c r="E65" s="315"/>
      <c r="F65" s="315"/>
      <c r="G65" s="315"/>
      <c r="H65" s="316"/>
    </row>
    <row r="66" spans="2:8">
      <c r="B66" s="317"/>
      <c r="C66" s="318"/>
      <c r="D66" s="318"/>
      <c r="E66" s="318"/>
      <c r="F66" s="318"/>
      <c r="G66" s="318"/>
      <c r="H66" s="319"/>
    </row>
  </sheetData>
  <sheetProtection algorithmName="SHA-512" hashValue="dCq4RzpjLpVpqjuLCJg+ZU2mJLtGPq38gysA1UPKk6Vq/RPl8t3OTpPehNJaJbk/2OnxHKHCUf/h+BzzXWnlyA==" saltValue="Q545tGp6zAJg+ta9JB997w==" spinCount="100000" sheet="1" selectLockedCells="1"/>
  <autoFilter ref="B8:B60" xr:uid="{00000000-0009-0000-0000-000002000000}"/>
  <mergeCells count="8">
    <mergeCell ref="B63:H66"/>
    <mergeCell ref="B1:E1"/>
    <mergeCell ref="B8:B9"/>
    <mergeCell ref="U8:U9"/>
    <mergeCell ref="G8:G9"/>
    <mergeCell ref="C2:E2"/>
    <mergeCell ref="C3:E3"/>
    <mergeCell ref="C4:E4"/>
  </mergeCells>
  <conditionalFormatting sqref="C11:L59">
    <cfRule type="expression" dxfId="69" priority="28">
      <formula>ISBLANK($B11)</formula>
    </cfRule>
  </conditionalFormatting>
  <conditionalFormatting sqref="M11:M59">
    <cfRule type="cellIs" dxfId="68" priority="32" operator="greaterThan">
      <formula>0.01</formula>
    </cfRule>
  </conditionalFormatting>
  <conditionalFormatting sqref="M11:Q59">
    <cfRule type="expression" dxfId="67" priority="33">
      <formula>ISBLANK($B11)</formula>
    </cfRule>
  </conditionalFormatting>
  <conditionalFormatting sqref="N11:Q59">
    <cfRule type="expression" dxfId="66" priority="38">
      <formula>$M11&gt;0.01</formula>
    </cfRule>
    <cfRule type="expression" dxfId="65" priority="39">
      <formula>SUMPRODUCT(ISNUMBER(FIND($AB$11:$AB$36,N11))*1)&gt;0</formula>
    </cfRule>
  </conditionalFormatting>
  <conditionalFormatting sqref="S11">
    <cfRule type="expression" priority="6">
      <formula>$S$11=300</formula>
    </cfRule>
  </conditionalFormatting>
  <conditionalFormatting sqref="S11:S59">
    <cfRule type="expression" dxfId="64" priority="7">
      <formula>SUMPRODUCT(ISNUMBER(FIND($AB$11:$AB$36,S11))*1)&gt;0</formula>
    </cfRule>
  </conditionalFormatting>
  <conditionalFormatting sqref="S11:W59">
    <cfRule type="expression" dxfId="63" priority="12">
      <formula>ISBLANK($B11)</formula>
    </cfRule>
  </conditionalFormatting>
  <conditionalFormatting sqref="T11:U59">
    <cfRule type="expression" dxfId="62" priority="3">
      <formula>$H11="UV filter"</formula>
    </cfRule>
    <cfRule type="expression" dxfId="61" priority="4">
      <formula>$H11="Colorant"</formula>
    </cfRule>
    <cfRule type="expression" dxfId="60" priority="5">
      <formula>$H11="Preservative"</formula>
    </cfRule>
  </conditionalFormatting>
  <conditionalFormatting sqref="U11:U59">
    <cfRule type="expression" dxfId="59" priority="1">
      <formula>AND($T11="BCF",$U11&gt;=500)</formula>
    </cfRule>
    <cfRule type="expression" dxfId="58" priority="2">
      <formula>AND($T11="log Kow",$U11&gt;=4)</formula>
    </cfRule>
  </conditionalFormatting>
  <dataValidations count="2">
    <dataValidation type="list" allowBlank="1" showInputMessage="1" showErrorMessage="1" sqref="C11:C59" xr:uid="{00000000-0002-0000-0200-000000000000}">
      <formula1>Trade_name</formula1>
    </dataValidation>
    <dataValidation type="list" allowBlank="1" showInputMessage="1" showErrorMessage="1" sqref="V11:W59" xr:uid="{00000000-0002-0000-0200-000001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2000000}">
          <x14:formula1>
            <xm:f>Hoja2!$B$34:$B$35</xm:f>
          </x14:formula1>
          <xm:sqref>S12:S59</xm:sqref>
        </x14:dataValidation>
        <x14:dataValidation type="list" allowBlank="1" showInputMessage="1" showErrorMessage="1" xr:uid="{00000000-0002-0000-0200-000003000000}">
          <x14:formula1>
            <xm:f>Hoja2!$B$34:$B$36</xm:f>
          </x14:formula1>
          <xm:sqref>S11</xm:sqref>
        </x14:dataValidation>
        <x14:dataValidation type="list" allowBlank="1" showInputMessage="1" showErrorMessage="1" xr:uid="{00000000-0002-0000-0200-000004000000}">
          <x14:formula1>
            <xm:f>Hoja2!$B$15:$B$22</xm:f>
          </x14:formula1>
          <xm:sqref>H11:H59</xm:sqref>
        </x14:dataValidation>
        <x14:dataValidation type="list" allowBlank="1" showInputMessage="1" showErrorMessage="1" xr:uid="{00000000-0002-0000-0200-000005000000}">
          <x14:formula1>
            <xm:f>Hoja2!$B$25:$B$27</xm:f>
          </x14:formula1>
          <xm:sqref>T11:T59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1">
    <outlinePr showOutlineSymbols="0"/>
  </sheetPr>
  <dimension ref="A1:Q65"/>
  <sheetViews>
    <sheetView showZeros="0" showOutlineSymbols="0" zoomScaleNormal="100" workbookViewId="0">
      <selection activeCell="E12" sqref="E12"/>
    </sheetView>
  </sheetViews>
  <sheetFormatPr defaultColWidth="11.42578125" defaultRowHeight="12.75"/>
  <cols>
    <col min="1" max="1" width="5.42578125" style="2" customWidth="1"/>
    <col min="2" max="2" width="30.7109375" style="2" customWidth="1"/>
    <col min="3" max="3" width="20.28515625" style="2" bestFit="1" customWidth="1"/>
    <col min="4" max="4" width="20.7109375" style="2" customWidth="1"/>
    <col min="5" max="5" width="11.7109375" style="2" customWidth="1"/>
    <col min="6" max="6" width="35" style="2" bestFit="1" customWidth="1"/>
    <col min="7" max="7" width="17" style="2" customWidth="1"/>
    <col min="8" max="11" width="9.5703125" style="2" customWidth="1"/>
    <col min="12" max="15" width="9.140625" style="2" customWidth="1"/>
    <col min="16" max="16" width="15.85546875" style="68" customWidth="1"/>
    <col min="17" max="17" width="10.5703125" style="2" hidden="1" customWidth="1"/>
    <col min="18" max="18" width="11.42578125" style="2" customWidth="1"/>
    <col min="19" max="16384" width="11.42578125" style="2"/>
  </cols>
  <sheetData>
    <row r="1" spans="1:17">
      <c r="B1" s="321" t="s">
        <v>356</v>
      </c>
      <c r="C1" s="322"/>
      <c r="D1" s="322"/>
      <c r="E1" s="98"/>
    </row>
    <row r="2" spans="1:17">
      <c r="B2" s="96" t="s">
        <v>229</v>
      </c>
      <c r="C2" s="301" t="str">
        <f>'Product formulation'!C2</f>
        <v/>
      </c>
      <c r="D2" s="301"/>
      <c r="E2" s="24"/>
    </row>
    <row r="3" spans="1:17">
      <c r="B3" s="96" t="s">
        <v>9</v>
      </c>
      <c r="C3" s="301" t="str">
        <f>'Product formulation'!C3</f>
        <v>Rinse-off product</v>
      </c>
      <c r="D3" s="301"/>
      <c r="E3" s="24" t="str">
        <f>IF(C3="Leave-on product","You shall complete the Excel file Leave-on - DID","Results are presented in the Excel file Results 1&amp;2")</f>
        <v>Results are presented in the Excel file Results 1&amp;2</v>
      </c>
    </row>
    <row r="4" spans="1:17">
      <c r="B4" s="97" t="s">
        <v>257</v>
      </c>
      <c r="C4" s="301" t="str">
        <f>'Product formulation'!C4</f>
        <v>Animal care product</v>
      </c>
      <c r="D4" s="301"/>
      <c r="E4" s="24"/>
    </row>
    <row r="6" spans="1:17" s="132" customFormat="1" ht="15.75">
      <c r="A6" s="132" t="s">
        <v>301</v>
      </c>
      <c r="P6" s="179"/>
    </row>
    <row r="8" spans="1:17" s="1" customFormat="1" ht="25.5" customHeight="1">
      <c r="A8" s="4"/>
      <c r="B8" s="128" t="s">
        <v>12</v>
      </c>
      <c r="C8" s="128" t="s">
        <v>13</v>
      </c>
      <c r="D8" s="324" t="s">
        <v>303</v>
      </c>
      <c r="E8" s="324" t="s">
        <v>304</v>
      </c>
      <c r="F8" s="324" t="s">
        <v>305</v>
      </c>
      <c r="G8" s="128" t="s">
        <v>17</v>
      </c>
      <c r="H8" s="331" t="s">
        <v>230</v>
      </c>
      <c r="I8" s="332"/>
      <c r="J8" s="332"/>
      <c r="K8" s="333"/>
      <c r="L8" s="329" t="s">
        <v>42</v>
      </c>
      <c r="M8" s="329" t="s">
        <v>219</v>
      </c>
      <c r="N8" s="329" t="s">
        <v>214</v>
      </c>
      <c r="O8" s="329" t="s">
        <v>218</v>
      </c>
      <c r="P8" s="128" t="s">
        <v>231</v>
      </c>
    </row>
    <row r="9" spans="1:17" s="1" customFormat="1" ht="25.5">
      <c r="A9" s="4"/>
      <c r="B9" s="177" t="s">
        <v>434</v>
      </c>
      <c r="C9" s="133" t="s">
        <v>14</v>
      </c>
      <c r="D9" s="325"/>
      <c r="E9" s="325"/>
      <c r="F9" s="325"/>
      <c r="G9" s="133" t="s">
        <v>7</v>
      </c>
      <c r="H9" s="133" t="s">
        <v>42</v>
      </c>
      <c r="I9" s="133" t="s">
        <v>219</v>
      </c>
      <c r="J9" s="133" t="s">
        <v>214</v>
      </c>
      <c r="K9" s="133" t="s">
        <v>218</v>
      </c>
      <c r="L9" s="330"/>
      <c r="M9" s="330"/>
      <c r="N9" s="330"/>
      <c r="O9" s="330"/>
      <c r="P9" s="133" t="s">
        <v>14</v>
      </c>
    </row>
    <row r="10" spans="1:17">
      <c r="A10" s="5">
        <v>1</v>
      </c>
      <c r="B10" s="15" t="s">
        <v>11</v>
      </c>
      <c r="C10" s="15"/>
      <c r="D10" s="15"/>
      <c r="E10" s="15"/>
      <c r="F10" s="15"/>
      <c r="G10" s="6">
        <f>'Ingoing substances'!M10</f>
        <v>0</v>
      </c>
      <c r="H10" s="6"/>
      <c r="I10" s="6"/>
      <c r="J10" s="6"/>
      <c r="K10" s="6"/>
      <c r="L10" s="15"/>
      <c r="M10" s="15"/>
      <c r="N10" s="15"/>
      <c r="O10" s="15"/>
      <c r="P10" s="180"/>
    </row>
    <row r="11" spans="1:17">
      <c r="A11" s="5">
        <v>2</v>
      </c>
      <c r="B11" s="6" t="str">
        <f>IF('Ingoing substances'!B11="","",'Ingoing substances'!B11)</f>
        <v/>
      </c>
      <c r="C11" s="6" t="str">
        <f>IF('Ingoing substances'!C11="","",'Ingoing substances'!C11)</f>
        <v/>
      </c>
      <c r="D11" s="6" t="str">
        <f>IF('Ingoing substances'!G11="","",'Ingoing substances'!G11)</f>
        <v/>
      </c>
      <c r="E11" s="9"/>
      <c r="F11" s="6" t="str">
        <f>IF(E11="","",VLOOKUP($E11,'2023 DID-list_Part A'!$A$8:$L$273,3,FALSE))</f>
        <v/>
      </c>
      <c r="G11" s="6">
        <f>'Ingoing substances'!M11</f>
        <v>0</v>
      </c>
      <c r="H11" s="8"/>
      <c r="I11" s="8"/>
      <c r="J11" s="8"/>
      <c r="K11" s="8"/>
      <c r="L11" s="6" t="str">
        <f>IF($E11="","",IF($E11="not included",H11,VLOOKUP($E11,'2023 DID-list_Part A'!$A$8:$L$273,10,FALSE)))</f>
        <v/>
      </c>
      <c r="M11" s="6" t="str">
        <f>IF($E11="","",IF($E11="not included",I11,VLOOKUP($E11,'2023 DID-list_Part A'!$A$8:$L$273,9,FALSE)))</f>
        <v/>
      </c>
      <c r="N11" s="6" t="str">
        <f>IF($E11="","",IF($E11="not included",J11,VLOOKUP($E11,'2023 DID-list_Part A'!$A$8:$L$273,11,FALSE)))</f>
        <v/>
      </c>
      <c r="O11" s="6" t="str">
        <f>IF($E11="","",IF($E11="not included",K11,VLOOKUP($E11,'2023 DID-list_Part A'!$A$8:$L$273,12,FALSE)))</f>
        <v/>
      </c>
      <c r="P11" s="181"/>
      <c r="Q11" s="152" t="str">
        <f>IF(OR(P11="1. low adsorption (A&lt;25%)",P11="2. high desorption (D&gt;75%)",P11="3. non-bioaccumulating",P11="Test present"),"Y","N")</f>
        <v>N</v>
      </c>
    </row>
    <row r="12" spans="1:17">
      <c r="A12" s="5">
        <v>3</v>
      </c>
      <c r="B12" s="6" t="str">
        <f>IF('Ingoing substances'!B12="","",'Ingoing substances'!B12)</f>
        <v/>
      </c>
      <c r="C12" s="6" t="str">
        <f>IF('Ingoing substances'!C12="","",'Ingoing substances'!C12)</f>
        <v/>
      </c>
      <c r="D12" s="6" t="str">
        <f>IF('Ingoing substances'!G12="","",'Ingoing substances'!G12)</f>
        <v/>
      </c>
      <c r="E12" s="9"/>
      <c r="F12" s="6" t="str">
        <f>IF(E12="","",VLOOKUP($E12,'2023 DID-list_Part A'!$A$8:$L$273,3,FALSE))</f>
        <v/>
      </c>
      <c r="G12" s="6">
        <f>'Ingoing substances'!M12</f>
        <v>0</v>
      </c>
      <c r="H12" s="8"/>
      <c r="I12" s="8"/>
      <c r="J12" s="8"/>
      <c r="K12" s="8"/>
      <c r="L12" s="6" t="str">
        <f>IF($E12="","",IF($E12="not included",H12,VLOOKUP($E12,'2023 DID-list_Part A'!$A$8:$L$273,10,FALSE)))</f>
        <v/>
      </c>
      <c r="M12" s="6" t="str">
        <f>IF($E12="","",IF($E12="not included",I12,VLOOKUP($E12,'2023 DID-list_Part A'!$A$8:$L$273,9,FALSE)))</f>
        <v/>
      </c>
      <c r="N12" s="6" t="str">
        <f>IF($E12="","",IF($E12="not included",J12,VLOOKUP($E12,'2023 DID-list_Part A'!$A$8:$L$273,11,FALSE)))</f>
        <v/>
      </c>
      <c r="O12" s="6" t="str">
        <f>IF($E12="","",IF($E12="not included",K12,VLOOKUP($E12,'2023 DID-list_Part A'!$A$8:$L$273,12,FALSE)))</f>
        <v/>
      </c>
      <c r="P12" s="181"/>
      <c r="Q12" s="152" t="str">
        <f t="shared" ref="Q12:Q59" si="0">IF(OR(P12="1. low adsorption (A&lt;25%)",P12="2. high desorption (D&gt;75%)",P12="3. non-bioaccumulating",P12="Test present"),"Y","N")</f>
        <v>N</v>
      </c>
    </row>
    <row r="13" spans="1:17">
      <c r="A13" s="5">
        <v>4</v>
      </c>
      <c r="B13" s="6" t="str">
        <f>IF('Ingoing substances'!B13="","",'Ingoing substances'!B13)</f>
        <v/>
      </c>
      <c r="C13" s="6" t="str">
        <f>IF('Ingoing substances'!C13="","",'Ingoing substances'!C13)</f>
        <v/>
      </c>
      <c r="D13" s="6" t="str">
        <f>IF('Ingoing substances'!G13="","",'Ingoing substances'!G13)</f>
        <v/>
      </c>
      <c r="E13" s="9"/>
      <c r="F13" s="6" t="str">
        <f>IF(E13="","",VLOOKUP($E13,'2023 DID-list_Part A'!$A$8:$L$273,3,FALSE))</f>
        <v/>
      </c>
      <c r="G13" s="6">
        <f>'Ingoing substances'!M13</f>
        <v>0</v>
      </c>
      <c r="H13" s="8"/>
      <c r="I13" s="8"/>
      <c r="J13" s="8"/>
      <c r="K13" s="8"/>
      <c r="L13" s="6" t="str">
        <f>IF($E13="","",IF($E13="not included",H13,VLOOKUP($E13,'2023 DID-list_Part A'!$A$8:$L$273,10,FALSE)))</f>
        <v/>
      </c>
      <c r="M13" s="6" t="str">
        <f>IF($E13="","",IF($E13="not included",I13,VLOOKUP($E13,'2023 DID-list_Part A'!$A$8:$L$273,9,FALSE)))</f>
        <v/>
      </c>
      <c r="N13" s="6" t="str">
        <f>IF($E13="","",IF($E13="not included",J13,VLOOKUP($E13,'2023 DID-list_Part A'!$A$8:$L$273,11,FALSE)))</f>
        <v/>
      </c>
      <c r="O13" s="6" t="str">
        <f>IF($E13="","",IF($E13="not included",K13,VLOOKUP($E13,'2023 DID-list_Part A'!$A$8:$L$273,12,FALSE)))</f>
        <v/>
      </c>
      <c r="P13" s="181"/>
      <c r="Q13" s="152" t="str">
        <f t="shared" si="0"/>
        <v>N</v>
      </c>
    </row>
    <row r="14" spans="1:17">
      <c r="A14" s="5">
        <v>5</v>
      </c>
      <c r="B14" s="6" t="str">
        <f>IF('Ingoing substances'!B14="","",'Ingoing substances'!B14)</f>
        <v/>
      </c>
      <c r="C14" s="6" t="str">
        <f>IF('Ingoing substances'!C14="","",'Ingoing substances'!C14)</f>
        <v/>
      </c>
      <c r="D14" s="6" t="str">
        <f>IF('Ingoing substances'!G14="","",'Ingoing substances'!G14)</f>
        <v/>
      </c>
      <c r="E14" s="9"/>
      <c r="F14" s="6" t="str">
        <f>IF(E14="","",VLOOKUP($E14,'2023 DID-list_Part A'!$A$8:$L$273,3,FALSE))</f>
        <v/>
      </c>
      <c r="G14" s="16">
        <f>'Ingoing substances'!M14</f>
        <v>0</v>
      </c>
      <c r="H14" s="8"/>
      <c r="I14" s="8"/>
      <c r="J14" s="8"/>
      <c r="K14" s="8"/>
      <c r="L14" s="6" t="str">
        <f>IF($E14="","",IF($E14="not included",H14,VLOOKUP($E14,'2023 DID-list_Part A'!$A$8:$L$273,10,FALSE)))</f>
        <v/>
      </c>
      <c r="M14" s="6" t="str">
        <f>IF($E14="","",IF($E14="not included",I14,VLOOKUP($E14,'2023 DID-list_Part A'!$A$8:$L$273,9,FALSE)))</f>
        <v/>
      </c>
      <c r="N14" s="6" t="str">
        <f>IF($E14="","",IF($E14="not included",J14,VLOOKUP($E14,'2023 DID-list_Part A'!$A$8:$L$273,11,FALSE)))</f>
        <v/>
      </c>
      <c r="O14" s="6" t="str">
        <f>IF($E14="","",IF($E14="not included",K14,VLOOKUP($E14,'2023 DID-list_Part A'!$A$8:$L$273,12,FALSE)))</f>
        <v/>
      </c>
      <c r="P14" s="181"/>
      <c r="Q14" s="152" t="str">
        <f t="shared" si="0"/>
        <v>N</v>
      </c>
    </row>
    <row r="15" spans="1:17">
      <c r="A15" s="5">
        <v>6</v>
      </c>
      <c r="B15" s="6" t="str">
        <f>IF('Ingoing substances'!B15="","",'Ingoing substances'!B15)</f>
        <v/>
      </c>
      <c r="C15" s="6" t="str">
        <f>IF('Ingoing substances'!C15="","",'Ingoing substances'!C15)</f>
        <v/>
      </c>
      <c r="D15" s="6" t="str">
        <f>IF('Ingoing substances'!G15="","",'Ingoing substances'!G15)</f>
        <v/>
      </c>
      <c r="E15" s="9"/>
      <c r="F15" s="6" t="str">
        <f>IF(E15="","",VLOOKUP($E15,'2023 DID-list_Part A'!$A$8:$L$273,3,FALSE))</f>
        <v/>
      </c>
      <c r="G15" s="6">
        <f>'Ingoing substances'!M15</f>
        <v>0</v>
      </c>
      <c r="H15" s="8"/>
      <c r="I15" s="8"/>
      <c r="J15" s="8"/>
      <c r="K15" s="8"/>
      <c r="L15" s="6" t="str">
        <f>IF($E15="","",IF($E15="not included",H15,VLOOKUP($E15,'2023 DID-list_Part A'!$A$8:$L$273,10,FALSE)))</f>
        <v/>
      </c>
      <c r="M15" s="6" t="str">
        <f>IF($E15="","",IF($E15="not included",I15,VLOOKUP($E15,'2023 DID-list_Part A'!$A$8:$L$273,9,FALSE)))</f>
        <v/>
      </c>
      <c r="N15" s="6" t="str">
        <f>IF($E15="","",IF($E15="not included",J15,VLOOKUP($E15,'2023 DID-list_Part A'!$A$8:$L$273,11,FALSE)))</f>
        <v/>
      </c>
      <c r="O15" s="6" t="str">
        <f>IF($E15="","",IF($E15="not included",K15,VLOOKUP($E15,'2023 DID-list_Part A'!$A$8:$L$273,12,FALSE)))</f>
        <v/>
      </c>
      <c r="P15" s="181"/>
      <c r="Q15" s="152" t="str">
        <f t="shared" si="0"/>
        <v>N</v>
      </c>
    </row>
    <row r="16" spans="1:17">
      <c r="A16" s="5">
        <v>7</v>
      </c>
      <c r="B16" s="6" t="str">
        <f>IF('Ingoing substances'!B16="","",'Ingoing substances'!B16)</f>
        <v/>
      </c>
      <c r="C16" s="6" t="str">
        <f>IF('Ingoing substances'!C16="","",'Ingoing substances'!C16)</f>
        <v/>
      </c>
      <c r="D16" s="6" t="str">
        <f>IF('Ingoing substances'!G16="","",'Ingoing substances'!G16)</f>
        <v/>
      </c>
      <c r="E16" s="9"/>
      <c r="F16" s="6" t="str">
        <f>IF(E16="","",VLOOKUP($E16,'2023 DID-list_Part A'!$A$8:$L$273,3,FALSE))</f>
        <v/>
      </c>
      <c r="G16" s="6">
        <f>'Ingoing substances'!M16</f>
        <v>0</v>
      </c>
      <c r="H16" s="8"/>
      <c r="I16" s="8"/>
      <c r="J16" s="8"/>
      <c r="K16" s="8"/>
      <c r="L16" s="6" t="str">
        <f>IF($E16="","",IF($E16="not included",H16,VLOOKUP($E16,'2023 DID-list_Part A'!$A$8:$L$273,10,FALSE)))</f>
        <v/>
      </c>
      <c r="M16" s="6" t="str">
        <f>IF($E16="","",IF($E16="not included",I16,VLOOKUP($E16,'2023 DID-list_Part A'!$A$8:$L$273,9,FALSE)))</f>
        <v/>
      </c>
      <c r="N16" s="6" t="str">
        <f>IF($E16="","",IF($E16="not included",J16,VLOOKUP($E16,'2023 DID-list_Part A'!$A$8:$L$273,11,FALSE)))</f>
        <v/>
      </c>
      <c r="O16" s="6" t="str">
        <f>IF($E16="","",IF($E16="not included",K16,VLOOKUP($E16,'2023 DID-list_Part A'!$A$8:$L$273,12,FALSE)))</f>
        <v/>
      </c>
      <c r="P16" s="181"/>
      <c r="Q16" s="152" t="str">
        <f t="shared" si="0"/>
        <v>N</v>
      </c>
    </row>
    <row r="17" spans="1:17">
      <c r="A17" s="5">
        <v>8</v>
      </c>
      <c r="B17" s="6" t="str">
        <f>IF('Ingoing substances'!B17="","",'Ingoing substances'!B17)</f>
        <v/>
      </c>
      <c r="C17" s="6" t="str">
        <f>IF('Ingoing substances'!C17="","",'Ingoing substances'!C17)</f>
        <v/>
      </c>
      <c r="D17" s="6" t="str">
        <f>IF('Ingoing substances'!G17="","",'Ingoing substances'!G17)</f>
        <v/>
      </c>
      <c r="E17" s="9"/>
      <c r="F17" s="6" t="str">
        <f>IF(E17="","",VLOOKUP($E17,'2023 DID-list_Part A'!$A$8:$L$273,3,FALSE))</f>
        <v/>
      </c>
      <c r="G17" s="6">
        <f>'Ingoing substances'!M17</f>
        <v>0</v>
      </c>
      <c r="H17" s="8"/>
      <c r="I17" s="8"/>
      <c r="J17" s="8"/>
      <c r="K17" s="8"/>
      <c r="L17" s="6" t="str">
        <f>IF($E17="","",IF($E17="not included",H17,VLOOKUP($E17,'2023 DID-list_Part A'!$A$8:$L$273,10,FALSE)))</f>
        <v/>
      </c>
      <c r="M17" s="6" t="str">
        <f>IF($E17="","",IF($E17="not included",I17,VLOOKUP($E17,'2023 DID-list_Part A'!$A$8:$L$273,9,FALSE)))</f>
        <v/>
      </c>
      <c r="N17" s="6" t="str">
        <f>IF($E17="","",IF($E17="not included",J17,VLOOKUP($E17,'2023 DID-list_Part A'!$A$8:$L$273,11,FALSE)))</f>
        <v/>
      </c>
      <c r="O17" s="6" t="str">
        <f>IF($E17="","",IF($E17="not included",K17,VLOOKUP($E17,'2023 DID-list_Part A'!$A$8:$L$273,12,FALSE)))</f>
        <v/>
      </c>
      <c r="P17" s="181"/>
      <c r="Q17" s="152" t="str">
        <f t="shared" si="0"/>
        <v>N</v>
      </c>
    </row>
    <row r="18" spans="1:17">
      <c r="A18" s="5">
        <v>9</v>
      </c>
      <c r="B18" s="6" t="str">
        <f>IF('Ingoing substances'!B18="","",'Ingoing substances'!B18)</f>
        <v/>
      </c>
      <c r="C18" s="6" t="str">
        <f>IF('Ingoing substances'!C18="","",'Ingoing substances'!C18)</f>
        <v/>
      </c>
      <c r="D18" s="6" t="str">
        <f>IF('Ingoing substances'!G18="","",'Ingoing substances'!G18)</f>
        <v/>
      </c>
      <c r="E18" s="9"/>
      <c r="F18" s="6" t="str">
        <f>IF(E18="","",VLOOKUP($E18,'2023 DID-list_Part A'!$A$8:$L$273,3,FALSE))</f>
        <v/>
      </c>
      <c r="G18" s="6">
        <f>'Ingoing substances'!M18</f>
        <v>0</v>
      </c>
      <c r="H18" s="8"/>
      <c r="I18" s="8"/>
      <c r="J18" s="8"/>
      <c r="K18" s="8"/>
      <c r="L18" s="6" t="str">
        <f>IF($E18="","",IF($E18="not included",H18,VLOOKUP($E18,'2023 DID-list_Part A'!$A$8:$L$273,10,FALSE)))</f>
        <v/>
      </c>
      <c r="M18" s="6" t="str">
        <f>IF($E18="","",IF($E18="not included",I18,VLOOKUP($E18,'2023 DID-list_Part A'!$A$8:$L$273,9,FALSE)))</f>
        <v/>
      </c>
      <c r="N18" s="6" t="str">
        <f>IF($E18="","",IF($E18="not included",J18,VLOOKUP($E18,'2023 DID-list_Part A'!$A$8:$L$273,11,FALSE)))</f>
        <v/>
      </c>
      <c r="O18" s="6" t="str">
        <f>IF($E18="","",IF($E18="not included",K18,VLOOKUP($E18,'2023 DID-list_Part A'!$A$8:$L$273,12,FALSE)))</f>
        <v/>
      </c>
      <c r="P18" s="181"/>
      <c r="Q18" s="152" t="str">
        <f t="shared" si="0"/>
        <v>N</v>
      </c>
    </row>
    <row r="19" spans="1:17">
      <c r="A19" s="5">
        <v>10</v>
      </c>
      <c r="B19" s="6" t="str">
        <f>IF('Ingoing substances'!B19="","",'Ingoing substances'!B19)</f>
        <v/>
      </c>
      <c r="C19" s="6" t="str">
        <f>IF('Ingoing substances'!C19="","",'Ingoing substances'!C19)</f>
        <v/>
      </c>
      <c r="D19" s="6" t="str">
        <f>IF('Ingoing substances'!G19="","",'Ingoing substances'!G19)</f>
        <v/>
      </c>
      <c r="E19" s="9"/>
      <c r="F19" s="6" t="str">
        <f>IF(E19="","",VLOOKUP($E19,'2023 DID-list_Part A'!$A$8:$L$273,3,FALSE))</f>
        <v/>
      </c>
      <c r="G19" s="6">
        <f>'Ingoing substances'!M19</f>
        <v>0</v>
      </c>
      <c r="H19" s="8"/>
      <c r="I19" s="8"/>
      <c r="J19" s="8"/>
      <c r="K19" s="8"/>
      <c r="L19" s="6" t="str">
        <f>IF($E19="","",IF($E19="not included",H19,VLOOKUP($E19,'2023 DID-list_Part A'!$A$8:$L$273,10,FALSE)))</f>
        <v/>
      </c>
      <c r="M19" s="6" t="str">
        <f>IF($E19="","",IF($E19="not included",I19,VLOOKUP($E19,'2023 DID-list_Part A'!$A$8:$L$273,9,FALSE)))</f>
        <v/>
      </c>
      <c r="N19" s="6" t="str">
        <f>IF($E19="","",IF($E19="not included",J19,VLOOKUP($E19,'2023 DID-list_Part A'!$A$8:$L$273,11,FALSE)))</f>
        <v/>
      </c>
      <c r="O19" s="6" t="str">
        <f>IF($E19="","",IF($E19="not included",K19,VLOOKUP($E19,'2023 DID-list_Part A'!$A$8:$L$273,12,FALSE)))</f>
        <v/>
      </c>
      <c r="P19" s="181"/>
      <c r="Q19" s="152" t="str">
        <f t="shared" si="0"/>
        <v>N</v>
      </c>
    </row>
    <row r="20" spans="1:17">
      <c r="A20" s="5">
        <v>11</v>
      </c>
      <c r="B20" s="6" t="str">
        <f>IF('Ingoing substances'!B20="","",'Ingoing substances'!B20)</f>
        <v/>
      </c>
      <c r="C20" s="6" t="str">
        <f>IF('Ingoing substances'!C20="","",'Ingoing substances'!C20)</f>
        <v/>
      </c>
      <c r="D20" s="6" t="str">
        <f>IF('Ingoing substances'!G20="","",'Ingoing substances'!G20)</f>
        <v/>
      </c>
      <c r="E20" s="9"/>
      <c r="F20" s="6" t="str">
        <f>IF(E20="","",VLOOKUP($E20,'2023 DID-list_Part A'!$A$8:$L$273,3,FALSE))</f>
        <v/>
      </c>
      <c r="G20" s="6">
        <f>'Ingoing substances'!M20</f>
        <v>0</v>
      </c>
      <c r="H20" s="8"/>
      <c r="I20" s="8"/>
      <c r="J20" s="8"/>
      <c r="K20" s="8"/>
      <c r="L20" s="6" t="str">
        <f>IF($E20="","",IF($E20="not included",H20,VLOOKUP($E20,'2023 DID-list_Part A'!$A$8:$L$273,10,FALSE)))</f>
        <v/>
      </c>
      <c r="M20" s="6" t="str">
        <f>IF($E20="","",IF($E20="not included",I20,VLOOKUP($E20,'2023 DID-list_Part A'!$A$8:$L$273,9,FALSE)))</f>
        <v/>
      </c>
      <c r="N20" s="6" t="str">
        <f>IF($E20="","",IF($E20="not included",J20,VLOOKUP($E20,'2023 DID-list_Part A'!$A$8:$L$273,11,FALSE)))</f>
        <v/>
      </c>
      <c r="O20" s="6" t="str">
        <f>IF($E20="","",IF($E20="not included",K20,VLOOKUP($E20,'2023 DID-list_Part A'!$A$8:$L$273,12,FALSE)))</f>
        <v/>
      </c>
      <c r="P20" s="181"/>
      <c r="Q20" s="152" t="str">
        <f t="shared" si="0"/>
        <v>N</v>
      </c>
    </row>
    <row r="21" spans="1:17">
      <c r="A21" s="5">
        <v>12</v>
      </c>
      <c r="B21" s="6" t="str">
        <f>IF('Ingoing substances'!B21="","",'Ingoing substances'!B21)</f>
        <v/>
      </c>
      <c r="C21" s="6" t="str">
        <f>IF('Ingoing substances'!C21="","",'Ingoing substances'!C21)</f>
        <v/>
      </c>
      <c r="D21" s="6" t="str">
        <f>IF('Ingoing substances'!G21="","",'Ingoing substances'!G21)</f>
        <v/>
      </c>
      <c r="E21" s="9"/>
      <c r="F21" s="6" t="str">
        <f>IF(E21="","",VLOOKUP($E21,'2023 DID-list_Part A'!$A$8:$L$273,3,FALSE))</f>
        <v/>
      </c>
      <c r="G21" s="6">
        <f>'Ingoing substances'!M21</f>
        <v>0</v>
      </c>
      <c r="H21" s="8"/>
      <c r="I21" s="8"/>
      <c r="J21" s="8"/>
      <c r="K21" s="8"/>
      <c r="L21" s="6" t="str">
        <f>IF($E21="","",IF($E21="not included",H21,VLOOKUP($E21,'2023 DID-list_Part A'!$A$8:$L$273,10,FALSE)))</f>
        <v/>
      </c>
      <c r="M21" s="6" t="str">
        <f>IF($E21="","",IF($E21="not included",I21,VLOOKUP($E21,'2023 DID-list_Part A'!$A$8:$L$273,9,FALSE)))</f>
        <v/>
      </c>
      <c r="N21" s="6" t="str">
        <f>IF($E21="","",IF($E21="not included",J21,VLOOKUP($E21,'2023 DID-list_Part A'!$A$8:$L$273,11,FALSE)))</f>
        <v/>
      </c>
      <c r="O21" s="6" t="str">
        <f>IF($E21="","",IF($E21="not included",K21,VLOOKUP($E21,'2023 DID-list_Part A'!$A$8:$L$273,12,FALSE)))</f>
        <v/>
      </c>
      <c r="P21" s="181"/>
      <c r="Q21" s="152" t="str">
        <f t="shared" si="0"/>
        <v>N</v>
      </c>
    </row>
    <row r="22" spans="1:17">
      <c r="A22" s="5">
        <v>13</v>
      </c>
      <c r="B22" s="6" t="str">
        <f>IF('Ingoing substances'!B22="","",'Ingoing substances'!B22)</f>
        <v/>
      </c>
      <c r="C22" s="6" t="str">
        <f>IF('Ingoing substances'!C22="","",'Ingoing substances'!C22)</f>
        <v/>
      </c>
      <c r="D22" s="6" t="str">
        <f>IF('Ingoing substances'!G22="","",'Ingoing substances'!G22)</f>
        <v/>
      </c>
      <c r="E22" s="9"/>
      <c r="F22" s="6" t="str">
        <f>IF(E22="","",VLOOKUP($E22,'2023 DID-list_Part A'!$A$8:$L$273,3,FALSE))</f>
        <v/>
      </c>
      <c r="G22" s="6">
        <f>'Ingoing substances'!M22</f>
        <v>0</v>
      </c>
      <c r="H22" s="8"/>
      <c r="I22" s="8"/>
      <c r="J22" s="8"/>
      <c r="K22" s="8"/>
      <c r="L22" s="6" t="str">
        <f>IF($E22="","",IF($E22="not included",H22,VLOOKUP($E22,'2023 DID-list_Part A'!$A$8:$L$273,10,FALSE)))</f>
        <v/>
      </c>
      <c r="M22" s="6" t="str">
        <f>IF($E22="","",IF($E22="not included",I22,VLOOKUP($E22,'2023 DID-list_Part A'!$A$8:$L$273,9,FALSE)))</f>
        <v/>
      </c>
      <c r="N22" s="6" t="str">
        <f>IF($E22="","",IF($E22="not included",J22,VLOOKUP($E22,'2023 DID-list_Part A'!$A$8:$L$273,11,FALSE)))</f>
        <v/>
      </c>
      <c r="O22" s="6" t="str">
        <f>IF($E22="","",IF($E22="not included",K22,VLOOKUP($E22,'2023 DID-list_Part A'!$A$8:$L$273,12,FALSE)))</f>
        <v/>
      </c>
      <c r="P22" s="181"/>
      <c r="Q22" s="152" t="str">
        <f t="shared" si="0"/>
        <v>N</v>
      </c>
    </row>
    <row r="23" spans="1:17">
      <c r="A23" s="5">
        <v>14</v>
      </c>
      <c r="B23" s="6" t="str">
        <f>IF('Ingoing substances'!B23="","",'Ingoing substances'!B23)</f>
        <v/>
      </c>
      <c r="C23" s="6" t="str">
        <f>IF('Ingoing substances'!C23="","",'Ingoing substances'!C23)</f>
        <v/>
      </c>
      <c r="D23" s="6" t="str">
        <f>IF('Ingoing substances'!G23="","",'Ingoing substances'!G23)</f>
        <v/>
      </c>
      <c r="E23" s="9"/>
      <c r="F23" s="6" t="str">
        <f>IF(E23="","",VLOOKUP($E23,'2023 DID-list_Part A'!$A$8:$L$273,3,FALSE))</f>
        <v/>
      </c>
      <c r="G23" s="6">
        <f>'Ingoing substances'!M23</f>
        <v>0</v>
      </c>
      <c r="H23" s="8"/>
      <c r="I23" s="8"/>
      <c r="J23" s="8"/>
      <c r="K23" s="8"/>
      <c r="L23" s="6" t="str">
        <f>IF($E23="","",IF($E23="not included",H23,VLOOKUP($E23,'2023 DID-list_Part A'!$A$8:$L$273,10,FALSE)))</f>
        <v/>
      </c>
      <c r="M23" s="6" t="str">
        <f>IF($E23="","",IF($E23="not included",I23,VLOOKUP($E23,'2023 DID-list_Part A'!$A$8:$L$273,9,FALSE)))</f>
        <v/>
      </c>
      <c r="N23" s="6" t="str">
        <f>IF($E23="","",IF($E23="not included",J23,VLOOKUP($E23,'2023 DID-list_Part A'!$A$8:$L$273,11,FALSE)))</f>
        <v/>
      </c>
      <c r="O23" s="6" t="str">
        <f>IF($E23="","",IF($E23="not included",K23,VLOOKUP($E23,'2023 DID-list_Part A'!$A$8:$L$273,12,FALSE)))</f>
        <v/>
      </c>
      <c r="P23" s="181"/>
      <c r="Q23" s="152" t="str">
        <f t="shared" si="0"/>
        <v>N</v>
      </c>
    </row>
    <row r="24" spans="1:17">
      <c r="A24" s="5">
        <v>15</v>
      </c>
      <c r="B24" s="6" t="str">
        <f>IF('Ingoing substances'!B24="","",'Ingoing substances'!B24)</f>
        <v/>
      </c>
      <c r="C24" s="6" t="str">
        <f>IF('Ingoing substances'!C24="","",'Ingoing substances'!C24)</f>
        <v/>
      </c>
      <c r="D24" s="6" t="str">
        <f>IF('Ingoing substances'!G24="","",'Ingoing substances'!G24)</f>
        <v/>
      </c>
      <c r="E24" s="9"/>
      <c r="F24" s="6" t="str">
        <f>IF(E24="","",VLOOKUP($E24,'2023 DID-list_Part A'!$A$8:$L$273,3,FALSE))</f>
        <v/>
      </c>
      <c r="G24" s="6">
        <f>'Ingoing substances'!M24</f>
        <v>0</v>
      </c>
      <c r="H24" s="8"/>
      <c r="I24" s="8"/>
      <c r="J24" s="8"/>
      <c r="K24" s="8"/>
      <c r="L24" s="6" t="str">
        <f>IF($E24="","",IF($E24="not included",H24,VLOOKUP($E24,'2023 DID-list_Part A'!$A$8:$L$273,10,FALSE)))</f>
        <v/>
      </c>
      <c r="M24" s="6" t="str">
        <f>IF($E24="","",IF($E24="not included",I24,VLOOKUP($E24,'2023 DID-list_Part A'!$A$8:$L$273,9,FALSE)))</f>
        <v/>
      </c>
      <c r="N24" s="6" t="str">
        <f>IF($E24="","",IF($E24="not included",J24,VLOOKUP($E24,'2023 DID-list_Part A'!$A$8:$L$273,11,FALSE)))</f>
        <v/>
      </c>
      <c r="O24" s="6" t="str">
        <f>IF($E24="","",IF($E24="not included",K24,VLOOKUP($E24,'2023 DID-list_Part A'!$A$8:$L$273,12,FALSE)))</f>
        <v/>
      </c>
      <c r="P24" s="181"/>
      <c r="Q24" s="152" t="str">
        <f t="shared" si="0"/>
        <v>N</v>
      </c>
    </row>
    <row r="25" spans="1:17">
      <c r="A25" s="5">
        <v>16</v>
      </c>
      <c r="B25" s="6" t="str">
        <f>IF('Ingoing substances'!B25="","",'Ingoing substances'!B25)</f>
        <v/>
      </c>
      <c r="C25" s="6" t="str">
        <f>IF('Ingoing substances'!C25="","",'Ingoing substances'!C25)</f>
        <v/>
      </c>
      <c r="D25" s="6" t="str">
        <f>IF('Ingoing substances'!G25="","",'Ingoing substances'!G25)</f>
        <v/>
      </c>
      <c r="E25" s="9"/>
      <c r="F25" s="6" t="str">
        <f>IF(E25="","",VLOOKUP($E25,'2023 DID-list_Part A'!$A$8:$L$273,3,FALSE))</f>
        <v/>
      </c>
      <c r="G25" s="6">
        <f>'Ingoing substances'!M25</f>
        <v>0</v>
      </c>
      <c r="H25" s="8"/>
      <c r="I25" s="8"/>
      <c r="J25" s="8"/>
      <c r="K25" s="8"/>
      <c r="L25" s="6" t="str">
        <f>IF($E25="","",IF($E25="not included",H25,VLOOKUP($E25,'2023 DID-list_Part A'!$A$8:$L$273,10,FALSE)))</f>
        <v/>
      </c>
      <c r="M25" s="6" t="str">
        <f>IF($E25="","",IF($E25="not included",I25,VLOOKUP($E25,'2023 DID-list_Part A'!$A$8:$L$273,9,FALSE)))</f>
        <v/>
      </c>
      <c r="N25" s="6" t="str">
        <f>IF($E25="","",IF($E25="not included",J25,VLOOKUP($E25,'2023 DID-list_Part A'!$A$8:$L$273,11,FALSE)))</f>
        <v/>
      </c>
      <c r="O25" s="6" t="str">
        <f>IF($E25="","",IF($E25="not included",K25,VLOOKUP($E25,'2023 DID-list_Part A'!$A$8:$L$273,12,FALSE)))</f>
        <v/>
      </c>
      <c r="P25" s="181"/>
      <c r="Q25" s="152" t="str">
        <f t="shared" si="0"/>
        <v>N</v>
      </c>
    </row>
    <row r="26" spans="1:17">
      <c r="A26" s="5">
        <v>17</v>
      </c>
      <c r="B26" s="6" t="str">
        <f>IF('Ingoing substances'!B26="","",'Ingoing substances'!B26)</f>
        <v/>
      </c>
      <c r="C26" s="6" t="str">
        <f>IF('Ingoing substances'!C26="","",'Ingoing substances'!C26)</f>
        <v/>
      </c>
      <c r="D26" s="6" t="str">
        <f>IF('Ingoing substances'!G26="","",'Ingoing substances'!G26)</f>
        <v/>
      </c>
      <c r="E26" s="9"/>
      <c r="F26" s="6" t="str">
        <f>IF(E26="","",VLOOKUP($E26,'2023 DID-list_Part A'!$A$8:$L$273,3,FALSE))</f>
        <v/>
      </c>
      <c r="G26" s="6">
        <f>'Ingoing substances'!M26</f>
        <v>0</v>
      </c>
      <c r="H26" s="8"/>
      <c r="I26" s="8"/>
      <c r="J26" s="8"/>
      <c r="K26" s="8"/>
      <c r="L26" s="6" t="str">
        <f>IF($E26="","",IF($E26="not included",H26,VLOOKUP($E26,'2023 DID-list_Part A'!$A$8:$L$273,10,FALSE)))</f>
        <v/>
      </c>
      <c r="M26" s="6" t="str">
        <f>IF($E26="","",IF($E26="not included",I26,VLOOKUP($E26,'2023 DID-list_Part A'!$A$8:$L$273,9,FALSE)))</f>
        <v/>
      </c>
      <c r="N26" s="6" t="str">
        <f>IF($E26="","",IF($E26="not included",J26,VLOOKUP($E26,'2023 DID-list_Part A'!$A$8:$L$273,11,FALSE)))</f>
        <v/>
      </c>
      <c r="O26" s="6" t="str">
        <f>IF($E26="","",IF($E26="not included",K26,VLOOKUP($E26,'2023 DID-list_Part A'!$A$8:$L$273,12,FALSE)))</f>
        <v/>
      </c>
      <c r="P26" s="181"/>
      <c r="Q26" s="152" t="str">
        <f t="shared" si="0"/>
        <v>N</v>
      </c>
    </row>
    <row r="27" spans="1:17">
      <c r="A27" s="5">
        <v>18</v>
      </c>
      <c r="B27" s="6" t="str">
        <f>IF('Ingoing substances'!B27="","",'Ingoing substances'!B27)</f>
        <v/>
      </c>
      <c r="C27" s="6" t="str">
        <f>IF('Ingoing substances'!C27="","",'Ingoing substances'!C27)</f>
        <v/>
      </c>
      <c r="D27" s="6" t="str">
        <f>IF('Ingoing substances'!G27="","",'Ingoing substances'!G27)</f>
        <v/>
      </c>
      <c r="E27" s="9"/>
      <c r="F27" s="6" t="str">
        <f>IF(E27="","",VLOOKUP($E27,'2023 DID-list_Part A'!$A$8:$L$273,3,FALSE))</f>
        <v/>
      </c>
      <c r="G27" s="6">
        <f>'Ingoing substances'!M27</f>
        <v>0</v>
      </c>
      <c r="H27" s="8"/>
      <c r="I27" s="8"/>
      <c r="J27" s="8"/>
      <c r="K27" s="8"/>
      <c r="L27" s="6" t="str">
        <f>IF($E27="","",IF($E27="not included",H27,VLOOKUP($E27,'2023 DID-list_Part A'!$A$8:$L$273,10,FALSE)))</f>
        <v/>
      </c>
      <c r="M27" s="6" t="str">
        <f>IF($E27="","",IF($E27="not included",I27,VLOOKUP($E27,'2023 DID-list_Part A'!$A$8:$L$273,9,FALSE)))</f>
        <v/>
      </c>
      <c r="N27" s="6" t="str">
        <f>IF($E27="","",IF($E27="not included",J27,VLOOKUP($E27,'2023 DID-list_Part A'!$A$8:$L$273,11,FALSE)))</f>
        <v/>
      </c>
      <c r="O27" s="6" t="str">
        <f>IF($E27="","",IF($E27="not included",K27,VLOOKUP($E27,'2023 DID-list_Part A'!$A$8:$L$273,12,FALSE)))</f>
        <v/>
      </c>
      <c r="P27" s="181"/>
      <c r="Q27" s="152" t="str">
        <f t="shared" si="0"/>
        <v>N</v>
      </c>
    </row>
    <row r="28" spans="1:17">
      <c r="A28" s="5">
        <v>19</v>
      </c>
      <c r="B28" s="6" t="str">
        <f>IF('Ingoing substances'!B28="","",'Ingoing substances'!B28)</f>
        <v/>
      </c>
      <c r="C28" s="6" t="str">
        <f>IF('Ingoing substances'!C28="","",'Ingoing substances'!C28)</f>
        <v/>
      </c>
      <c r="D28" s="6" t="str">
        <f>IF('Ingoing substances'!G28="","",'Ingoing substances'!G28)</f>
        <v/>
      </c>
      <c r="E28" s="9"/>
      <c r="F28" s="6" t="str">
        <f>IF(E28="","",VLOOKUP($E28,'2023 DID-list_Part A'!$A$8:$L$273,3,FALSE))</f>
        <v/>
      </c>
      <c r="G28" s="6">
        <f>'Ingoing substances'!M28</f>
        <v>0</v>
      </c>
      <c r="H28" s="8"/>
      <c r="I28" s="8"/>
      <c r="J28" s="8"/>
      <c r="K28" s="8"/>
      <c r="L28" s="6" t="str">
        <f>IF($E28="","",IF($E28="not included",H28,VLOOKUP($E28,'2023 DID-list_Part A'!$A$8:$L$273,10,FALSE)))</f>
        <v/>
      </c>
      <c r="M28" s="6" t="str">
        <f>IF($E28="","",IF($E28="not included",I28,VLOOKUP($E28,'2023 DID-list_Part A'!$A$8:$L$273,9,FALSE)))</f>
        <v/>
      </c>
      <c r="N28" s="6" t="str">
        <f>IF($E28="","",IF($E28="not included",J28,VLOOKUP($E28,'2023 DID-list_Part A'!$A$8:$L$273,11,FALSE)))</f>
        <v/>
      </c>
      <c r="O28" s="6" t="str">
        <f>IF($E28="","",IF($E28="not included",K28,VLOOKUP($E28,'2023 DID-list_Part A'!$A$8:$L$273,12,FALSE)))</f>
        <v/>
      </c>
      <c r="P28" s="181"/>
      <c r="Q28" s="152" t="str">
        <f t="shared" si="0"/>
        <v>N</v>
      </c>
    </row>
    <row r="29" spans="1:17">
      <c r="A29" s="5">
        <v>20</v>
      </c>
      <c r="B29" s="6" t="str">
        <f>IF('Ingoing substances'!B29="","",'Ingoing substances'!B29)</f>
        <v/>
      </c>
      <c r="C29" s="6" t="str">
        <f>IF('Ingoing substances'!C29="","",'Ingoing substances'!C29)</f>
        <v/>
      </c>
      <c r="D29" s="6" t="str">
        <f>IF('Ingoing substances'!G29="","",'Ingoing substances'!G29)</f>
        <v/>
      </c>
      <c r="E29" s="9"/>
      <c r="F29" s="6" t="str">
        <f>IF(E29="","",VLOOKUP($E29,'2023 DID-list_Part A'!$A$8:$L$273,3,FALSE))</f>
        <v/>
      </c>
      <c r="G29" s="6">
        <f>'Ingoing substances'!M29</f>
        <v>0</v>
      </c>
      <c r="H29" s="8"/>
      <c r="I29" s="8"/>
      <c r="J29" s="8"/>
      <c r="K29" s="8"/>
      <c r="L29" s="6" t="str">
        <f>IF($E29="","",IF($E29="not included",H29,VLOOKUP($E29,'2023 DID-list_Part A'!$A$8:$L$273,10,FALSE)))</f>
        <v/>
      </c>
      <c r="M29" s="6" t="str">
        <f>IF($E29="","",IF($E29="not included",I29,VLOOKUP($E29,'2023 DID-list_Part A'!$A$8:$L$273,9,FALSE)))</f>
        <v/>
      </c>
      <c r="N29" s="6" t="str">
        <f>IF($E29="","",IF($E29="not included",J29,VLOOKUP($E29,'2023 DID-list_Part A'!$A$8:$L$273,11,FALSE)))</f>
        <v/>
      </c>
      <c r="O29" s="6" t="str">
        <f>IF($E29="","",IF($E29="not included",K29,VLOOKUP($E29,'2023 DID-list_Part A'!$A$8:$L$273,12,FALSE)))</f>
        <v/>
      </c>
      <c r="P29" s="181"/>
      <c r="Q29" s="152" t="str">
        <f t="shared" si="0"/>
        <v>N</v>
      </c>
    </row>
    <row r="30" spans="1:17">
      <c r="A30" s="5">
        <v>21</v>
      </c>
      <c r="B30" s="6" t="str">
        <f>IF('Ingoing substances'!B30="","",'Ingoing substances'!B30)</f>
        <v/>
      </c>
      <c r="C30" s="6" t="str">
        <f>IF('Ingoing substances'!C30="","",'Ingoing substances'!C30)</f>
        <v/>
      </c>
      <c r="D30" s="6" t="str">
        <f>IF('Ingoing substances'!G30="","",'Ingoing substances'!G30)</f>
        <v/>
      </c>
      <c r="E30" s="9"/>
      <c r="F30" s="6" t="str">
        <f>IF(E30="","",VLOOKUP($E30,'2023 DID-list_Part A'!$A$8:$L$273,3,FALSE))</f>
        <v/>
      </c>
      <c r="G30" s="6">
        <f>'Ingoing substances'!M30</f>
        <v>0</v>
      </c>
      <c r="H30" s="8"/>
      <c r="I30" s="8"/>
      <c r="J30" s="8"/>
      <c r="K30" s="8"/>
      <c r="L30" s="6" t="str">
        <f>IF($E30="","",IF($E30="not included",H30,VLOOKUP($E30,'2023 DID-list_Part A'!$A$8:$L$273,10,FALSE)))</f>
        <v/>
      </c>
      <c r="M30" s="6" t="str">
        <f>IF($E30="","",IF($E30="not included",I30,VLOOKUP($E30,'2023 DID-list_Part A'!$A$8:$L$273,9,FALSE)))</f>
        <v/>
      </c>
      <c r="N30" s="6" t="str">
        <f>IF($E30="","",IF($E30="not included",J30,VLOOKUP($E30,'2023 DID-list_Part A'!$A$8:$L$273,11,FALSE)))</f>
        <v/>
      </c>
      <c r="O30" s="6" t="str">
        <f>IF($E30="","",IF($E30="not included",K30,VLOOKUP($E30,'2023 DID-list_Part A'!$A$8:$L$273,12,FALSE)))</f>
        <v/>
      </c>
      <c r="P30" s="181"/>
      <c r="Q30" s="152" t="str">
        <f t="shared" si="0"/>
        <v>N</v>
      </c>
    </row>
    <row r="31" spans="1:17">
      <c r="A31" s="5">
        <v>22</v>
      </c>
      <c r="B31" s="6" t="str">
        <f>IF('Ingoing substances'!B31="","",'Ingoing substances'!B31)</f>
        <v/>
      </c>
      <c r="C31" s="6" t="str">
        <f>IF('Ingoing substances'!C31="","",'Ingoing substances'!C31)</f>
        <v/>
      </c>
      <c r="D31" s="6" t="str">
        <f>IF('Ingoing substances'!G31="","",'Ingoing substances'!G31)</f>
        <v/>
      </c>
      <c r="E31" s="9"/>
      <c r="F31" s="6" t="str">
        <f>IF(E31="","",VLOOKUP($E31,'2023 DID-list_Part A'!$A$8:$L$273,3,FALSE))</f>
        <v/>
      </c>
      <c r="G31" s="6">
        <f>'Ingoing substances'!M31</f>
        <v>0</v>
      </c>
      <c r="H31" s="8"/>
      <c r="I31" s="8"/>
      <c r="J31" s="8"/>
      <c r="K31" s="8"/>
      <c r="L31" s="6" t="str">
        <f>IF($E31="","",IF($E31="not included",H31,VLOOKUP($E31,'2023 DID-list_Part A'!$A$8:$L$273,10,FALSE)))</f>
        <v/>
      </c>
      <c r="M31" s="6" t="str">
        <f>IF($E31="","",IF($E31="not included",I31,VLOOKUP($E31,'2023 DID-list_Part A'!$A$8:$L$273,9,FALSE)))</f>
        <v/>
      </c>
      <c r="N31" s="6" t="str">
        <f>IF($E31="","",IF($E31="not included",J31,VLOOKUP($E31,'2023 DID-list_Part A'!$A$8:$L$273,11,FALSE)))</f>
        <v/>
      </c>
      <c r="O31" s="6" t="str">
        <f>IF($E31="","",IF($E31="not included",K31,VLOOKUP($E31,'2023 DID-list_Part A'!$A$8:$L$273,12,FALSE)))</f>
        <v/>
      </c>
      <c r="P31" s="181"/>
      <c r="Q31" s="152" t="str">
        <f t="shared" si="0"/>
        <v>N</v>
      </c>
    </row>
    <row r="32" spans="1:17">
      <c r="A32" s="5">
        <v>23</v>
      </c>
      <c r="B32" s="6" t="str">
        <f>IF('Ingoing substances'!B32="","",'Ingoing substances'!B32)</f>
        <v/>
      </c>
      <c r="C32" s="6" t="str">
        <f>IF('Ingoing substances'!C32="","",'Ingoing substances'!C32)</f>
        <v/>
      </c>
      <c r="D32" s="6" t="str">
        <f>IF('Ingoing substances'!G32="","",'Ingoing substances'!G32)</f>
        <v/>
      </c>
      <c r="E32" s="9"/>
      <c r="F32" s="6" t="str">
        <f>IF(E32="","",VLOOKUP($E32,'2023 DID-list_Part A'!$A$8:$L$273,3,FALSE))</f>
        <v/>
      </c>
      <c r="G32" s="6">
        <f>'Ingoing substances'!M32</f>
        <v>0</v>
      </c>
      <c r="H32" s="8"/>
      <c r="I32" s="8"/>
      <c r="J32" s="8"/>
      <c r="K32" s="8"/>
      <c r="L32" s="6" t="str">
        <f>IF($E32="","",IF($E32="not included",H32,VLOOKUP($E32,'2023 DID-list_Part A'!$A$8:$L$273,10,FALSE)))</f>
        <v/>
      </c>
      <c r="M32" s="6" t="str">
        <f>IF($E32="","",IF($E32="not included",I32,VLOOKUP($E32,'2023 DID-list_Part A'!$A$8:$L$273,9,FALSE)))</f>
        <v/>
      </c>
      <c r="N32" s="6" t="str">
        <f>IF($E32="","",IF($E32="not included",J32,VLOOKUP($E32,'2023 DID-list_Part A'!$A$8:$L$273,11,FALSE)))</f>
        <v/>
      </c>
      <c r="O32" s="6" t="str">
        <f>IF($E32="","",IF($E32="not included",K32,VLOOKUP($E32,'2023 DID-list_Part A'!$A$8:$L$273,12,FALSE)))</f>
        <v/>
      </c>
      <c r="P32" s="181"/>
      <c r="Q32" s="152" t="str">
        <f t="shared" si="0"/>
        <v>N</v>
      </c>
    </row>
    <row r="33" spans="1:17">
      <c r="A33" s="5">
        <v>24</v>
      </c>
      <c r="B33" s="6" t="str">
        <f>IF('Ingoing substances'!B33="","",'Ingoing substances'!B33)</f>
        <v/>
      </c>
      <c r="C33" s="6" t="str">
        <f>IF('Ingoing substances'!C33="","",'Ingoing substances'!C33)</f>
        <v/>
      </c>
      <c r="D33" s="6" t="str">
        <f>IF('Ingoing substances'!G33="","",'Ingoing substances'!G33)</f>
        <v/>
      </c>
      <c r="E33" s="9"/>
      <c r="F33" s="6" t="str">
        <f>IF(E33="","",VLOOKUP($E33,'2023 DID-list_Part A'!$A$8:$L$273,3,FALSE))</f>
        <v/>
      </c>
      <c r="G33" s="6">
        <f>'Ingoing substances'!M33</f>
        <v>0</v>
      </c>
      <c r="H33" s="8"/>
      <c r="I33" s="8"/>
      <c r="J33" s="8"/>
      <c r="K33" s="8"/>
      <c r="L33" s="6" t="str">
        <f>IF($E33="","",IF($E33="not included",H33,VLOOKUP($E33,'2023 DID-list_Part A'!$A$8:$L$273,10,FALSE)))</f>
        <v/>
      </c>
      <c r="M33" s="6" t="str">
        <f>IF($E33="","",IF($E33="not included",I33,VLOOKUP($E33,'2023 DID-list_Part A'!$A$8:$L$273,9,FALSE)))</f>
        <v/>
      </c>
      <c r="N33" s="6" t="str">
        <f>IF($E33="","",IF($E33="not included",J33,VLOOKUP($E33,'2023 DID-list_Part A'!$A$8:$L$273,11,FALSE)))</f>
        <v/>
      </c>
      <c r="O33" s="6" t="str">
        <f>IF($E33="","",IF($E33="not included",K33,VLOOKUP($E33,'2023 DID-list_Part A'!$A$8:$L$273,12,FALSE)))</f>
        <v/>
      </c>
      <c r="P33" s="181"/>
      <c r="Q33" s="152" t="str">
        <f t="shared" si="0"/>
        <v>N</v>
      </c>
    </row>
    <row r="34" spans="1:17">
      <c r="A34" s="5">
        <v>25</v>
      </c>
      <c r="B34" s="6" t="str">
        <f>IF('Ingoing substances'!B34="","",'Ingoing substances'!B34)</f>
        <v/>
      </c>
      <c r="C34" s="6" t="str">
        <f>IF('Ingoing substances'!C34="","",'Ingoing substances'!C34)</f>
        <v/>
      </c>
      <c r="D34" s="6" t="str">
        <f>IF('Ingoing substances'!G34="","",'Ingoing substances'!G34)</f>
        <v/>
      </c>
      <c r="E34" s="9"/>
      <c r="F34" s="6" t="str">
        <f>IF(E34="","",VLOOKUP($E34,'2023 DID-list_Part A'!$A$8:$L$273,3,FALSE))</f>
        <v/>
      </c>
      <c r="G34" s="6">
        <f>'Ingoing substances'!M34</f>
        <v>0</v>
      </c>
      <c r="H34" s="8"/>
      <c r="I34" s="8"/>
      <c r="J34" s="8"/>
      <c r="K34" s="8"/>
      <c r="L34" s="6" t="str">
        <f>IF($E34="","",IF($E34="not included",H34,VLOOKUP($E34,'2023 DID-list_Part A'!$A$8:$L$273,10,FALSE)))</f>
        <v/>
      </c>
      <c r="M34" s="6" t="str">
        <f>IF($E34="","",IF($E34="not included",I34,VLOOKUP($E34,'2023 DID-list_Part A'!$A$8:$L$273,9,FALSE)))</f>
        <v/>
      </c>
      <c r="N34" s="6" t="str">
        <f>IF($E34="","",IF($E34="not included",J34,VLOOKUP($E34,'2023 DID-list_Part A'!$A$8:$L$273,11,FALSE)))</f>
        <v/>
      </c>
      <c r="O34" s="6" t="str">
        <f>IF($E34="","",IF($E34="not included",K34,VLOOKUP($E34,'2023 DID-list_Part A'!$A$8:$L$273,12,FALSE)))</f>
        <v/>
      </c>
      <c r="P34" s="181"/>
      <c r="Q34" s="152" t="str">
        <f t="shared" si="0"/>
        <v>N</v>
      </c>
    </row>
    <row r="35" spans="1:17">
      <c r="A35" s="5">
        <v>26</v>
      </c>
      <c r="B35" s="6" t="str">
        <f>IF('Ingoing substances'!B35="","",'Ingoing substances'!B35)</f>
        <v/>
      </c>
      <c r="C35" s="6" t="str">
        <f>IF('Ingoing substances'!C35="","",'Ingoing substances'!C35)</f>
        <v/>
      </c>
      <c r="D35" s="6" t="str">
        <f>IF('Ingoing substances'!G35="","",'Ingoing substances'!G35)</f>
        <v/>
      </c>
      <c r="E35" s="9"/>
      <c r="F35" s="6" t="str">
        <f>IF(E35="","",VLOOKUP($E35,'2023 DID-list_Part A'!$A$8:$L$273,3,FALSE))</f>
        <v/>
      </c>
      <c r="G35" s="6">
        <f>'Ingoing substances'!M35</f>
        <v>0</v>
      </c>
      <c r="H35" s="8"/>
      <c r="I35" s="8"/>
      <c r="J35" s="8"/>
      <c r="K35" s="8"/>
      <c r="L35" s="6" t="str">
        <f>IF($E35="","",IF($E35="not included",H35,VLOOKUP($E35,'2023 DID-list_Part A'!$A$8:$L$273,10,FALSE)))</f>
        <v/>
      </c>
      <c r="M35" s="6" t="str">
        <f>IF($E35="","",IF($E35="not included",I35,VLOOKUP($E35,'2023 DID-list_Part A'!$A$8:$L$273,9,FALSE)))</f>
        <v/>
      </c>
      <c r="N35" s="6" t="str">
        <f>IF($E35="","",IF($E35="not included",J35,VLOOKUP($E35,'2023 DID-list_Part A'!$A$8:$L$273,11,FALSE)))</f>
        <v/>
      </c>
      <c r="O35" s="6" t="str">
        <f>IF($E35="","",IF($E35="not included",K35,VLOOKUP($E35,'2023 DID-list_Part A'!$A$8:$L$273,12,FALSE)))</f>
        <v/>
      </c>
      <c r="P35" s="181"/>
      <c r="Q35" s="152" t="str">
        <f t="shared" si="0"/>
        <v>N</v>
      </c>
    </row>
    <row r="36" spans="1:17">
      <c r="A36" s="5">
        <v>27</v>
      </c>
      <c r="B36" s="6" t="str">
        <f>IF('Ingoing substances'!B36="","",'Ingoing substances'!B36)</f>
        <v/>
      </c>
      <c r="C36" s="6" t="str">
        <f>IF('Ingoing substances'!C36="","",'Ingoing substances'!C36)</f>
        <v/>
      </c>
      <c r="D36" s="6" t="str">
        <f>IF('Ingoing substances'!G36="","",'Ingoing substances'!G36)</f>
        <v/>
      </c>
      <c r="E36" s="9"/>
      <c r="F36" s="6" t="str">
        <f>IF(E36="","",VLOOKUP($E36,'2023 DID-list_Part A'!$A$8:$L$273,3,FALSE))</f>
        <v/>
      </c>
      <c r="G36" s="6">
        <f>'Ingoing substances'!M36</f>
        <v>0</v>
      </c>
      <c r="H36" s="8"/>
      <c r="I36" s="8"/>
      <c r="J36" s="8"/>
      <c r="K36" s="8"/>
      <c r="L36" s="6" t="str">
        <f>IF($E36="","",IF($E36="not included",H36,VLOOKUP($E36,'2023 DID-list_Part A'!$A$8:$L$273,10,FALSE)))</f>
        <v/>
      </c>
      <c r="M36" s="6" t="str">
        <f>IF($E36="","",IF($E36="not included",I36,VLOOKUP($E36,'2023 DID-list_Part A'!$A$8:$L$273,9,FALSE)))</f>
        <v/>
      </c>
      <c r="N36" s="6" t="str">
        <f>IF($E36="","",IF($E36="not included",J36,VLOOKUP($E36,'2023 DID-list_Part A'!$A$8:$L$273,11,FALSE)))</f>
        <v/>
      </c>
      <c r="O36" s="6" t="str">
        <f>IF($E36="","",IF($E36="not included",K36,VLOOKUP($E36,'2023 DID-list_Part A'!$A$8:$L$273,12,FALSE)))</f>
        <v/>
      </c>
      <c r="P36" s="181"/>
      <c r="Q36" s="152" t="str">
        <f t="shared" si="0"/>
        <v>N</v>
      </c>
    </row>
    <row r="37" spans="1:17">
      <c r="A37" s="5">
        <v>28</v>
      </c>
      <c r="B37" s="6" t="str">
        <f>IF('Ingoing substances'!B37="","",'Ingoing substances'!B37)</f>
        <v/>
      </c>
      <c r="C37" s="6" t="str">
        <f>IF('Ingoing substances'!C37="","",'Ingoing substances'!C37)</f>
        <v/>
      </c>
      <c r="D37" s="6" t="str">
        <f>IF('Ingoing substances'!G37="","",'Ingoing substances'!G37)</f>
        <v/>
      </c>
      <c r="E37" s="9"/>
      <c r="F37" s="6" t="str">
        <f>IF(E37="","",VLOOKUP($E37,'2023 DID-list_Part A'!$A$8:$L$273,3,FALSE))</f>
        <v/>
      </c>
      <c r="G37" s="6">
        <f>'Ingoing substances'!M37</f>
        <v>0</v>
      </c>
      <c r="H37" s="8"/>
      <c r="I37" s="8"/>
      <c r="J37" s="8"/>
      <c r="K37" s="8"/>
      <c r="L37" s="6" t="str">
        <f>IF($E37="","",IF($E37="not included",H37,VLOOKUP($E37,'2023 DID-list_Part A'!$A$8:$L$273,10,FALSE)))</f>
        <v/>
      </c>
      <c r="M37" s="6" t="str">
        <f>IF($E37="","",IF($E37="not included",I37,VLOOKUP($E37,'2023 DID-list_Part A'!$A$8:$L$273,9,FALSE)))</f>
        <v/>
      </c>
      <c r="N37" s="6" t="str">
        <f>IF($E37="","",IF($E37="not included",J37,VLOOKUP($E37,'2023 DID-list_Part A'!$A$8:$L$273,11,FALSE)))</f>
        <v/>
      </c>
      <c r="O37" s="6" t="str">
        <f>IF($E37="","",IF($E37="not included",K37,VLOOKUP($E37,'2023 DID-list_Part A'!$A$8:$L$273,12,FALSE)))</f>
        <v/>
      </c>
      <c r="P37" s="181"/>
      <c r="Q37" s="152" t="str">
        <f t="shared" si="0"/>
        <v>N</v>
      </c>
    </row>
    <row r="38" spans="1:17">
      <c r="A38" s="5">
        <v>29</v>
      </c>
      <c r="B38" s="6" t="str">
        <f>IF('Ingoing substances'!B38="","",'Ingoing substances'!B38)</f>
        <v/>
      </c>
      <c r="C38" s="6" t="str">
        <f>IF('Ingoing substances'!C38="","",'Ingoing substances'!C38)</f>
        <v/>
      </c>
      <c r="D38" s="6" t="str">
        <f>IF('Ingoing substances'!G38="","",'Ingoing substances'!G38)</f>
        <v/>
      </c>
      <c r="E38" s="9"/>
      <c r="F38" s="6" t="str">
        <f>IF(E38="","",VLOOKUP($E38,'2023 DID-list_Part A'!$A$8:$L$273,3,FALSE))</f>
        <v/>
      </c>
      <c r="G38" s="6">
        <f>'Ingoing substances'!M38</f>
        <v>0</v>
      </c>
      <c r="H38" s="8"/>
      <c r="I38" s="8"/>
      <c r="J38" s="8"/>
      <c r="K38" s="8"/>
      <c r="L38" s="6" t="str">
        <f>IF($E38="","",IF($E38="not included",H38,VLOOKUP($E38,'2023 DID-list_Part A'!$A$8:$L$273,10,FALSE)))</f>
        <v/>
      </c>
      <c r="M38" s="6" t="str">
        <f>IF($E38="","",IF($E38="not included",I38,VLOOKUP($E38,'2023 DID-list_Part A'!$A$8:$L$273,9,FALSE)))</f>
        <v/>
      </c>
      <c r="N38" s="6" t="str">
        <f>IF($E38="","",IF($E38="not included",J38,VLOOKUP($E38,'2023 DID-list_Part A'!$A$8:$L$273,11,FALSE)))</f>
        <v/>
      </c>
      <c r="O38" s="6" t="str">
        <f>IF($E38="","",IF($E38="not included",K38,VLOOKUP($E38,'2023 DID-list_Part A'!$A$8:$L$273,12,FALSE)))</f>
        <v/>
      </c>
      <c r="P38" s="181"/>
      <c r="Q38" s="152" t="str">
        <f t="shared" si="0"/>
        <v>N</v>
      </c>
    </row>
    <row r="39" spans="1:17">
      <c r="A39" s="5">
        <v>30</v>
      </c>
      <c r="B39" s="6" t="str">
        <f>IF('Ingoing substances'!B39="","",'Ingoing substances'!B39)</f>
        <v/>
      </c>
      <c r="C39" s="6" t="str">
        <f>IF('Ingoing substances'!C39="","",'Ingoing substances'!C39)</f>
        <v/>
      </c>
      <c r="D39" s="6" t="str">
        <f>IF('Ingoing substances'!G39="","",'Ingoing substances'!G39)</f>
        <v/>
      </c>
      <c r="E39" s="9"/>
      <c r="F39" s="6" t="str">
        <f>IF(E39="","",VLOOKUP($E39,'2023 DID-list_Part A'!$A$8:$L$273,3,FALSE))</f>
        <v/>
      </c>
      <c r="G39" s="6">
        <f>'Ingoing substances'!M39</f>
        <v>0</v>
      </c>
      <c r="H39" s="8"/>
      <c r="I39" s="8"/>
      <c r="J39" s="8"/>
      <c r="K39" s="8"/>
      <c r="L39" s="6" t="str">
        <f>IF($E39="","",IF($E39="not included",H39,VLOOKUP($E39,'2023 DID-list_Part A'!$A$8:$L$273,10,FALSE)))</f>
        <v/>
      </c>
      <c r="M39" s="6" t="str">
        <f>IF($E39="","",IF($E39="not included",I39,VLOOKUP($E39,'2023 DID-list_Part A'!$A$8:$L$273,9,FALSE)))</f>
        <v/>
      </c>
      <c r="N39" s="6" t="str">
        <f>IF($E39="","",IF($E39="not included",J39,VLOOKUP($E39,'2023 DID-list_Part A'!$A$8:$L$273,11,FALSE)))</f>
        <v/>
      </c>
      <c r="O39" s="6" t="str">
        <f>IF($E39="","",IF($E39="not included",K39,VLOOKUP($E39,'2023 DID-list_Part A'!$A$8:$L$273,12,FALSE)))</f>
        <v/>
      </c>
      <c r="P39" s="181"/>
      <c r="Q39" s="152" t="str">
        <f t="shared" si="0"/>
        <v>N</v>
      </c>
    </row>
    <row r="40" spans="1:17">
      <c r="A40" s="5">
        <v>31</v>
      </c>
      <c r="B40" s="6" t="str">
        <f>IF('Ingoing substances'!B40="","",'Ingoing substances'!B40)</f>
        <v/>
      </c>
      <c r="C40" s="6" t="str">
        <f>IF('Ingoing substances'!C40="","",'Ingoing substances'!C40)</f>
        <v/>
      </c>
      <c r="D40" s="6" t="str">
        <f>IF('Ingoing substances'!G40="","",'Ingoing substances'!G40)</f>
        <v/>
      </c>
      <c r="E40" s="9"/>
      <c r="F40" s="6" t="str">
        <f>IF(E40="","",VLOOKUP($E40,'2023 DID-list_Part A'!$A$8:$L$273,3,FALSE))</f>
        <v/>
      </c>
      <c r="G40" s="6">
        <f>'Ingoing substances'!M40</f>
        <v>0</v>
      </c>
      <c r="H40" s="8"/>
      <c r="I40" s="8"/>
      <c r="J40" s="8"/>
      <c r="K40" s="8"/>
      <c r="L40" s="6" t="str">
        <f>IF($E40="","",IF($E40="not included",H40,VLOOKUP($E40,'2023 DID-list_Part A'!$A$8:$L$273,10,FALSE)))</f>
        <v/>
      </c>
      <c r="M40" s="6" t="str">
        <f>IF($E40="","",IF($E40="not included",I40,VLOOKUP($E40,'2023 DID-list_Part A'!$A$8:$L$273,9,FALSE)))</f>
        <v/>
      </c>
      <c r="N40" s="6" t="str">
        <f>IF($E40="","",IF($E40="not included",J40,VLOOKUP($E40,'2023 DID-list_Part A'!$A$8:$L$273,11,FALSE)))</f>
        <v/>
      </c>
      <c r="O40" s="6" t="str">
        <f>IF($E40="","",IF($E40="not included",K40,VLOOKUP($E40,'2023 DID-list_Part A'!$A$8:$L$273,12,FALSE)))</f>
        <v/>
      </c>
      <c r="P40" s="181"/>
      <c r="Q40" s="152" t="str">
        <f t="shared" si="0"/>
        <v>N</v>
      </c>
    </row>
    <row r="41" spans="1:17">
      <c r="A41" s="5">
        <v>32</v>
      </c>
      <c r="B41" s="6" t="str">
        <f>IF('Ingoing substances'!B41="","",'Ingoing substances'!B41)</f>
        <v/>
      </c>
      <c r="C41" s="6" t="str">
        <f>IF('Ingoing substances'!C41="","",'Ingoing substances'!C41)</f>
        <v/>
      </c>
      <c r="D41" s="6" t="str">
        <f>IF('Ingoing substances'!G41="","",'Ingoing substances'!G41)</f>
        <v/>
      </c>
      <c r="E41" s="9"/>
      <c r="F41" s="6" t="str">
        <f>IF(E41="","",VLOOKUP($E41,'2023 DID-list_Part A'!$A$8:$L$273,3,FALSE))</f>
        <v/>
      </c>
      <c r="G41" s="6">
        <f>'Ingoing substances'!M41</f>
        <v>0</v>
      </c>
      <c r="H41" s="8"/>
      <c r="I41" s="8"/>
      <c r="J41" s="8"/>
      <c r="K41" s="8"/>
      <c r="L41" s="6" t="str">
        <f>IF($E41="","",IF($E41="not included",H41,VLOOKUP($E41,'2023 DID-list_Part A'!$A$8:$L$273,10,FALSE)))</f>
        <v/>
      </c>
      <c r="M41" s="6" t="str">
        <f>IF($E41="","",IF($E41="not included",I41,VLOOKUP($E41,'2023 DID-list_Part A'!$A$8:$L$273,9,FALSE)))</f>
        <v/>
      </c>
      <c r="N41" s="6" t="str">
        <f>IF($E41="","",IF($E41="not included",J41,VLOOKUP($E41,'2023 DID-list_Part A'!$A$8:$L$273,11,FALSE)))</f>
        <v/>
      </c>
      <c r="O41" s="6" t="str">
        <f>IF($E41="","",IF($E41="not included",K41,VLOOKUP($E41,'2023 DID-list_Part A'!$A$8:$L$273,12,FALSE)))</f>
        <v/>
      </c>
      <c r="P41" s="181"/>
      <c r="Q41" s="152" t="str">
        <f t="shared" si="0"/>
        <v>N</v>
      </c>
    </row>
    <row r="42" spans="1:17">
      <c r="A42" s="5">
        <v>33</v>
      </c>
      <c r="B42" s="6" t="str">
        <f>IF('Ingoing substances'!B42="","",'Ingoing substances'!B42)</f>
        <v/>
      </c>
      <c r="C42" s="6" t="str">
        <f>IF('Ingoing substances'!C42="","",'Ingoing substances'!C42)</f>
        <v/>
      </c>
      <c r="D42" s="6" t="str">
        <f>IF('Ingoing substances'!G42="","",'Ingoing substances'!G42)</f>
        <v/>
      </c>
      <c r="E42" s="9"/>
      <c r="F42" s="6" t="str">
        <f>IF(E42="","",VLOOKUP($E42,'2023 DID-list_Part A'!$A$8:$L$273,3,FALSE))</f>
        <v/>
      </c>
      <c r="G42" s="6">
        <f>'Ingoing substances'!M42</f>
        <v>0</v>
      </c>
      <c r="H42" s="8"/>
      <c r="I42" s="8"/>
      <c r="J42" s="8"/>
      <c r="K42" s="8"/>
      <c r="L42" s="6" t="str">
        <f>IF($E42="","",IF($E42="not included",H42,VLOOKUP($E42,'2023 DID-list_Part A'!$A$8:$L$273,10,FALSE)))</f>
        <v/>
      </c>
      <c r="M42" s="6" t="str">
        <f>IF($E42="","",IF($E42="not included",I42,VLOOKUP($E42,'2023 DID-list_Part A'!$A$8:$L$273,9,FALSE)))</f>
        <v/>
      </c>
      <c r="N42" s="6" t="str">
        <f>IF($E42="","",IF($E42="not included",J42,VLOOKUP($E42,'2023 DID-list_Part A'!$A$8:$L$273,11,FALSE)))</f>
        <v/>
      </c>
      <c r="O42" s="6" t="str">
        <f>IF($E42="","",IF($E42="not included",K42,VLOOKUP($E42,'2023 DID-list_Part A'!$A$8:$L$273,12,FALSE)))</f>
        <v/>
      </c>
      <c r="P42" s="181"/>
      <c r="Q42" s="152" t="str">
        <f t="shared" si="0"/>
        <v>N</v>
      </c>
    </row>
    <row r="43" spans="1:17">
      <c r="A43" s="5">
        <v>34</v>
      </c>
      <c r="B43" s="6" t="str">
        <f>IF('Ingoing substances'!B43="","",'Ingoing substances'!B43)</f>
        <v/>
      </c>
      <c r="C43" s="6" t="str">
        <f>IF('Ingoing substances'!C43="","",'Ingoing substances'!C43)</f>
        <v/>
      </c>
      <c r="D43" s="6" t="str">
        <f>IF('Ingoing substances'!G43="","",'Ingoing substances'!G43)</f>
        <v/>
      </c>
      <c r="E43" s="9"/>
      <c r="F43" s="6" t="str">
        <f>IF(E43="","",VLOOKUP($E43,'2023 DID-list_Part A'!$A$8:$L$273,3,FALSE))</f>
        <v/>
      </c>
      <c r="G43" s="6">
        <f>'Ingoing substances'!M43</f>
        <v>0</v>
      </c>
      <c r="H43" s="8"/>
      <c r="I43" s="8"/>
      <c r="J43" s="8"/>
      <c r="K43" s="8"/>
      <c r="L43" s="6" t="str">
        <f>IF($E43="","",IF($E43="not included",H43,VLOOKUP($E43,'2023 DID-list_Part A'!$A$8:$L$273,10,FALSE)))</f>
        <v/>
      </c>
      <c r="M43" s="6" t="str">
        <f>IF($E43="","",IF($E43="not included",I43,VLOOKUP($E43,'2023 DID-list_Part A'!$A$8:$L$273,9,FALSE)))</f>
        <v/>
      </c>
      <c r="N43" s="6" t="str">
        <f>IF($E43="","",IF($E43="not included",J43,VLOOKUP($E43,'2023 DID-list_Part A'!$A$8:$L$273,11,FALSE)))</f>
        <v/>
      </c>
      <c r="O43" s="6" t="str">
        <f>IF($E43="","",IF($E43="not included",K43,VLOOKUP($E43,'2023 DID-list_Part A'!$A$8:$L$273,12,FALSE)))</f>
        <v/>
      </c>
      <c r="P43" s="181"/>
      <c r="Q43" s="152" t="str">
        <f t="shared" si="0"/>
        <v>N</v>
      </c>
    </row>
    <row r="44" spans="1:17">
      <c r="A44" s="5">
        <v>35</v>
      </c>
      <c r="B44" s="6" t="str">
        <f>IF('Ingoing substances'!B44="","",'Ingoing substances'!B44)</f>
        <v/>
      </c>
      <c r="C44" s="6" t="str">
        <f>IF('Ingoing substances'!C44="","",'Ingoing substances'!C44)</f>
        <v/>
      </c>
      <c r="D44" s="6" t="str">
        <f>IF('Ingoing substances'!G44="","",'Ingoing substances'!G44)</f>
        <v/>
      </c>
      <c r="E44" s="9"/>
      <c r="F44" s="6" t="str">
        <f>IF(E44="","",VLOOKUP($E44,'2023 DID-list_Part A'!$A$8:$L$273,3,FALSE))</f>
        <v/>
      </c>
      <c r="G44" s="6">
        <f>'Ingoing substances'!M44</f>
        <v>0</v>
      </c>
      <c r="H44" s="8"/>
      <c r="I44" s="8"/>
      <c r="J44" s="8"/>
      <c r="K44" s="8"/>
      <c r="L44" s="6" t="str">
        <f>IF($E44="","",IF($E44="not included",H44,VLOOKUP($E44,'2023 DID-list_Part A'!$A$8:$L$273,10,FALSE)))</f>
        <v/>
      </c>
      <c r="M44" s="6" t="str">
        <f>IF($E44="","",IF($E44="not included",I44,VLOOKUP($E44,'2023 DID-list_Part A'!$A$8:$L$273,9,FALSE)))</f>
        <v/>
      </c>
      <c r="N44" s="6" t="str">
        <f>IF($E44="","",IF($E44="not included",J44,VLOOKUP($E44,'2023 DID-list_Part A'!$A$8:$L$273,11,FALSE)))</f>
        <v/>
      </c>
      <c r="O44" s="6" t="str">
        <f>IF($E44="","",IF($E44="not included",K44,VLOOKUP($E44,'2023 DID-list_Part A'!$A$8:$L$273,12,FALSE)))</f>
        <v/>
      </c>
      <c r="P44" s="181"/>
      <c r="Q44" s="152" t="str">
        <f t="shared" si="0"/>
        <v>N</v>
      </c>
    </row>
    <row r="45" spans="1:17">
      <c r="A45" s="5">
        <v>36</v>
      </c>
      <c r="B45" s="6" t="str">
        <f>IF('Ingoing substances'!B45="","",'Ingoing substances'!B45)</f>
        <v/>
      </c>
      <c r="C45" s="6" t="str">
        <f>IF('Ingoing substances'!C45="","",'Ingoing substances'!C45)</f>
        <v/>
      </c>
      <c r="D45" s="6" t="str">
        <f>IF('Ingoing substances'!G45="","",'Ingoing substances'!G45)</f>
        <v/>
      </c>
      <c r="E45" s="9"/>
      <c r="F45" s="6" t="str">
        <f>IF(E45="","",VLOOKUP($E45,'2023 DID-list_Part A'!$A$8:$L$273,3,FALSE))</f>
        <v/>
      </c>
      <c r="G45" s="6">
        <f>'Ingoing substances'!M45</f>
        <v>0</v>
      </c>
      <c r="H45" s="8"/>
      <c r="I45" s="8"/>
      <c r="J45" s="8"/>
      <c r="K45" s="8"/>
      <c r="L45" s="6" t="str">
        <f>IF($E45="","",IF($E45="not included",H45,VLOOKUP($E45,'2023 DID-list_Part A'!$A$8:$L$273,10,FALSE)))</f>
        <v/>
      </c>
      <c r="M45" s="6" t="str">
        <f>IF($E45="","",IF($E45="not included",I45,VLOOKUP($E45,'2023 DID-list_Part A'!$A$8:$L$273,9,FALSE)))</f>
        <v/>
      </c>
      <c r="N45" s="6" t="str">
        <f>IF($E45="","",IF($E45="not included",J45,VLOOKUP($E45,'2023 DID-list_Part A'!$A$8:$L$273,11,FALSE)))</f>
        <v/>
      </c>
      <c r="O45" s="6" t="str">
        <f>IF($E45="","",IF($E45="not included",K45,VLOOKUP($E45,'2023 DID-list_Part A'!$A$8:$L$273,12,FALSE)))</f>
        <v/>
      </c>
      <c r="P45" s="181"/>
      <c r="Q45" s="152" t="str">
        <f t="shared" si="0"/>
        <v>N</v>
      </c>
    </row>
    <row r="46" spans="1:17">
      <c r="A46" s="5">
        <v>37</v>
      </c>
      <c r="B46" s="6" t="str">
        <f>IF('Ingoing substances'!B46="","",'Ingoing substances'!B46)</f>
        <v/>
      </c>
      <c r="C46" s="6" t="str">
        <f>IF('Ingoing substances'!C46="","",'Ingoing substances'!C46)</f>
        <v/>
      </c>
      <c r="D46" s="6" t="str">
        <f>IF('Ingoing substances'!G46="","",'Ingoing substances'!G46)</f>
        <v/>
      </c>
      <c r="E46" s="9"/>
      <c r="F46" s="6" t="str">
        <f>IF(E46="","",VLOOKUP($E46,'2023 DID-list_Part A'!$A$8:$L$273,3,FALSE))</f>
        <v/>
      </c>
      <c r="G46" s="6">
        <f>'Ingoing substances'!M46</f>
        <v>0</v>
      </c>
      <c r="H46" s="8"/>
      <c r="I46" s="8"/>
      <c r="J46" s="8"/>
      <c r="K46" s="8"/>
      <c r="L46" s="6" t="str">
        <f>IF($E46="","",IF($E46="not included",H46,VLOOKUP($E46,'2023 DID-list_Part A'!$A$8:$L$273,10,FALSE)))</f>
        <v/>
      </c>
      <c r="M46" s="6" t="str">
        <f>IF($E46="","",IF($E46="not included",I46,VLOOKUP($E46,'2023 DID-list_Part A'!$A$8:$L$273,9,FALSE)))</f>
        <v/>
      </c>
      <c r="N46" s="6" t="str">
        <f>IF($E46="","",IF($E46="not included",J46,VLOOKUP($E46,'2023 DID-list_Part A'!$A$8:$L$273,11,FALSE)))</f>
        <v/>
      </c>
      <c r="O46" s="6" t="str">
        <f>IF($E46="","",IF($E46="not included",K46,VLOOKUP($E46,'2023 DID-list_Part A'!$A$8:$L$273,12,FALSE)))</f>
        <v/>
      </c>
      <c r="P46" s="181"/>
      <c r="Q46" s="152" t="str">
        <f t="shared" si="0"/>
        <v>N</v>
      </c>
    </row>
    <row r="47" spans="1:17">
      <c r="A47" s="5">
        <v>38</v>
      </c>
      <c r="B47" s="6" t="str">
        <f>IF('Ingoing substances'!B47="","",'Ingoing substances'!B47)</f>
        <v/>
      </c>
      <c r="C47" s="6" t="str">
        <f>IF('Ingoing substances'!C47="","",'Ingoing substances'!C47)</f>
        <v/>
      </c>
      <c r="D47" s="6" t="str">
        <f>IF('Ingoing substances'!G47="","",'Ingoing substances'!G47)</f>
        <v/>
      </c>
      <c r="E47" s="9"/>
      <c r="F47" s="6" t="str">
        <f>IF(E47="","",VLOOKUP($E47,'2023 DID-list_Part A'!$A$8:$L$273,3,FALSE))</f>
        <v/>
      </c>
      <c r="G47" s="6">
        <f>'Ingoing substances'!M47</f>
        <v>0</v>
      </c>
      <c r="H47" s="8"/>
      <c r="I47" s="8"/>
      <c r="J47" s="8"/>
      <c r="K47" s="8"/>
      <c r="L47" s="6" t="str">
        <f>IF($E47="","",IF($E47="not included",H47,VLOOKUP($E47,'2023 DID-list_Part A'!$A$8:$L$273,10,FALSE)))</f>
        <v/>
      </c>
      <c r="M47" s="6" t="str">
        <f>IF($E47="","",IF($E47="not included",I47,VLOOKUP($E47,'2023 DID-list_Part A'!$A$8:$L$273,9,FALSE)))</f>
        <v/>
      </c>
      <c r="N47" s="6" t="str">
        <f>IF($E47="","",IF($E47="not included",J47,VLOOKUP($E47,'2023 DID-list_Part A'!$A$8:$L$273,11,FALSE)))</f>
        <v/>
      </c>
      <c r="O47" s="6" t="str">
        <f>IF($E47="","",IF($E47="not included",K47,VLOOKUP($E47,'2023 DID-list_Part A'!$A$8:$L$273,12,FALSE)))</f>
        <v/>
      </c>
      <c r="P47" s="181"/>
      <c r="Q47" s="152" t="str">
        <f t="shared" si="0"/>
        <v>N</v>
      </c>
    </row>
    <row r="48" spans="1:17">
      <c r="A48" s="5">
        <v>39</v>
      </c>
      <c r="B48" s="6" t="str">
        <f>IF('Ingoing substances'!B48="","",'Ingoing substances'!B48)</f>
        <v/>
      </c>
      <c r="C48" s="6" t="str">
        <f>IF('Ingoing substances'!C48="","",'Ingoing substances'!C48)</f>
        <v/>
      </c>
      <c r="D48" s="6" t="str">
        <f>IF('Ingoing substances'!G48="","",'Ingoing substances'!G48)</f>
        <v/>
      </c>
      <c r="E48" s="9"/>
      <c r="F48" s="6" t="str">
        <f>IF(E48="","",VLOOKUP($E48,'2023 DID-list_Part A'!$A$8:$L$273,3,FALSE))</f>
        <v/>
      </c>
      <c r="G48" s="6">
        <f>'Ingoing substances'!M48</f>
        <v>0</v>
      </c>
      <c r="H48" s="8"/>
      <c r="I48" s="8"/>
      <c r="J48" s="8"/>
      <c r="K48" s="8"/>
      <c r="L48" s="6" t="str">
        <f>IF($E48="","",IF($E48="not included",H48,VLOOKUP($E48,'2023 DID-list_Part A'!$A$8:$L$273,10,FALSE)))</f>
        <v/>
      </c>
      <c r="M48" s="6" t="str">
        <f>IF($E48="","",IF($E48="not included",I48,VLOOKUP($E48,'2023 DID-list_Part A'!$A$8:$L$273,9,FALSE)))</f>
        <v/>
      </c>
      <c r="N48" s="6" t="str">
        <f>IF($E48="","",IF($E48="not included",J48,VLOOKUP($E48,'2023 DID-list_Part A'!$A$8:$L$273,11,FALSE)))</f>
        <v/>
      </c>
      <c r="O48" s="6" t="str">
        <f>IF($E48="","",IF($E48="not included",K48,VLOOKUP($E48,'2023 DID-list_Part A'!$A$8:$L$273,12,FALSE)))</f>
        <v/>
      </c>
      <c r="P48" s="181"/>
      <c r="Q48" s="152" t="str">
        <f t="shared" si="0"/>
        <v>N</v>
      </c>
    </row>
    <row r="49" spans="1:17">
      <c r="A49" s="5">
        <v>40</v>
      </c>
      <c r="B49" s="6" t="str">
        <f>IF('Ingoing substances'!B49="","",'Ingoing substances'!B49)</f>
        <v/>
      </c>
      <c r="C49" s="6" t="str">
        <f>IF('Ingoing substances'!C49="","",'Ingoing substances'!C49)</f>
        <v/>
      </c>
      <c r="D49" s="6" t="str">
        <f>IF('Ingoing substances'!G49="","",'Ingoing substances'!G49)</f>
        <v/>
      </c>
      <c r="E49" s="9"/>
      <c r="F49" s="6" t="str">
        <f>IF(E49="","",VLOOKUP($E49,'2023 DID-list_Part A'!$A$8:$L$273,3,FALSE))</f>
        <v/>
      </c>
      <c r="G49" s="6">
        <f>'Ingoing substances'!M49</f>
        <v>0</v>
      </c>
      <c r="H49" s="8"/>
      <c r="I49" s="8"/>
      <c r="J49" s="8"/>
      <c r="K49" s="8"/>
      <c r="L49" s="6" t="str">
        <f>IF($E49="","",IF($E49="not included",H49,VLOOKUP($E49,'2023 DID-list_Part A'!$A$8:$L$273,10,FALSE)))</f>
        <v/>
      </c>
      <c r="M49" s="6" t="str">
        <f>IF($E49="","",IF($E49="not included",I49,VLOOKUP($E49,'2023 DID-list_Part A'!$A$8:$L$273,9,FALSE)))</f>
        <v/>
      </c>
      <c r="N49" s="6" t="str">
        <f>IF($E49="","",IF($E49="not included",J49,VLOOKUP($E49,'2023 DID-list_Part A'!$A$8:$L$273,11,FALSE)))</f>
        <v/>
      </c>
      <c r="O49" s="6" t="str">
        <f>IF($E49="","",IF($E49="not included",K49,VLOOKUP($E49,'2023 DID-list_Part A'!$A$8:$L$273,12,FALSE)))</f>
        <v/>
      </c>
      <c r="P49" s="181"/>
      <c r="Q49" s="152" t="str">
        <f t="shared" si="0"/>
        <v>N</v>
      </c>
    </row>
    <row r="50" spans="1:17">
      <c r="A50" s="5">
        <v>41</v>
      </c>
      <c r="B50" s="6" t="str">
        <f>IF('Ingoing substances'!B50="","",'Ingoing substances'!B50)</f>
        <v/>
      </c>
      <c r="C50" s="6" t="str">
        <f>IF('Ingoing substances'!C50="","",'Ingoing substances'!C50)</f>
        <v/>
      </c>
      <c r="D50" s="6" t="str">
        <f>IF('Ingoing substances'!G50="","",'Ingoing substances'!G50)</f>
        <v/>
      </c>
      <c r="E50" s="9"/>
      <c r="F50" s="6" t="str">
        <f>IF(E50="","",VLOOKUP($E50,'2023 DID-list_Part A'!$A$8:$L$273,3,FALSE))</f>
        <v/>
      </c>
      <c r="G50" s="6">
        <f>'Ingoing substances'!M50</f>
        <v>0</v>
      </c>
      <c r="H50" s="8"/>
      <c r="I50" s="8"/>
      <c r="J50" s="8"/>
      <c r="K50" s="8"/>
      <c r="L50" s="6" t="str">
        <f>IF($E50="","",IF($E50="not included",H50,VLOOKUP($E50,'2023 DID-list_Part A'!$A$8:$L$273,10,FALSE)))</f>
        <v/>
      </c>
      <c r="M50" s="6" t="str">
        <f>IF($E50="","",IF($E50="not included",I50,VLOOKUP($E50,'2023 DID-list_Part A'!$A$8:$L$273,9,FALSE)))</f>
        <v/>
      </c>
      <c r="N50" s="6" t="str">
        <f>IF($E50="","",IF($E50="not included",J50,VLOOKUP($E50,'2023 DID-list_Part A'!$A$8:$L$273,11,FALSE)))</f>
        <v/>
      </c>
      <c r="O50" s="6" t="str">
        <f>IF($E50="","",IF($E50="not included",K50,VLOOKUP($E50,'2023 DID-list_Part A'!$A$8:$L$273,12,FALSE)))</f>
        <v/>
      </c>
      <c r="P50" s="181"/>
      <c r="Q50" s="152" t="str">
        <f t="shared" si="0"/>
        <v>N</v>
      </c>
    </row>
    <row r="51" spans="1:17">
      <c r="A51" s="5">
        <v>42</v>
      </c>
      <c r="B51" s="6" t="str">
        <f>IF('Ingoing substances'!B51="","",'Ingoing substances'!B51)</f>
        <v/>
      </c>
      <c r="C51" s="6" t="str">
        <f>IF('Ingoing substances'!C51="","",'Ingoing substances'!C51)</f>
        <v/>
      </c>
      <c r="D51" s="6" t="str">
        <f>IF('Ingoing substances'!G51="","",'Ingoing substances'!G51)</f>
        <v/>
      </c>
      <c r="E51" s="9"/>
      <c r="F51" s="6" t="str">
        <f>IF(E51="","",VLOOKUP($E51,'2023 DID-list_Part A'!$A$8:$L$273,3,FALSE))</f>
        <v/>
      </c>
      <c r="G51" s="6">
        <f>'Ingoing substances'!M51</f>
        <v>0</v>
      </c>
      <c r="H51" s="8"/>
      <c r="I51" s="8"/>
      <c r="J51" s="8"/>
      <c r="K51" s="8"/>
      <c r="L51" s="6" t="str">
        <f>IF($E51="","",IF($E51="not included",H51,VLOOKUP($E51,'2023 DID-list_Part A'!$A$8:$L$273,10,FALSE)))</f>
        <v/>
      </c>
      <c r="M51" s="6" t="str">
        <f>IF($E51="","",IF($E51="not included",I51,VLOOKUP($E51,'2023 DID-list_Part A'!$A$8:$L$273,9,FALSE)))</f>
        <v/>
      </c>
      <c r="N51" s="6" t="str">
        <f>IF($E51="","",IF($E51="not included",J51,VLOOKUP($E51,'2023 DID-list_Part A'!$A$8:$L$273,11,FALSE)))</f>
        <v/>
      </c>
      <c r="O51" s="6" t="str">
        <f>IF($E51="","",IF($E51="not included",K51,VLOOKUP($E51,'2023 DID-list_Part A'!$A$8:$L$273,12,FALSE)))</f>
        <v/>
      </c>
      <c r="P51" s="181"/>
      <c r="Q51" s="152" t="str">
        <f t="shared" si="0"/>
        <v>N</v>
      </c>
    </row>
    <row r="52" spans="1:17">
      <c r="A52" s="5">
        <v>43</v>
      </c>
      <c r="B52" s="6" t="str">
        <f>IF('Ingoing substances'!B52="","",'Ingoing substances'!B52)</f>
        <v/>
      </c>
      <c r="C52" s="6" t="str">
        <f>IF('Ingoing substances'!C52="","",'Ingoing substances'!C52)</f>
        <v/>
      </c>
      <c r="D52" s="6" t="str">
        <f>IF('Ingoing substances'!G52="","",'Ingoing substances'!G52)</f>
        <v/>
      </c>
      <c r="E52" s="9"/>
      <c r="F52" s="6" t="str">
        <f>IF(E52="","",VLOOKUP($E52,'2023 DID-list_Part A'!$A$8:$L$273,3,FALSE))</f>
        <v/>
      </c>
      <c r="G52" s="6">
        <f>'Ingoing substances'!M52</f>
        <v>0</v>
      </c>
      <c r="H52" s="8"/>
      <c r="I52" s="8"/>
      <c r="J52" s="8"/>
      <c r="K52" s="8"/>
      <c r="L52" s="6" t="str">
        <f>IF($E52="","",IF($E52="not included",H52,VLOOKUP($E52,'2023 DID-list_Part A'!$A$8:$L$273,10,FALSE)))</f>
        <v/>
      </c>
      <c r="M52" s="6" t="str">
        <f>IF($E52="","",IF($E52="not included",I52,VLOOKUP($E52,'2023 DID-list_Part A'!$A$8:$L$273,9,FALSE)))</f>
        <v/>
      </c>
      <c r="N52" s="6" t="str">
        <f>IF($E52="","",IF($E52="not included",J52,VLOOKUP($E52,'2023 DID-list_Part A'!$A$8:$L$273,11,FALSE)))</f>
        <v/>
      </c>
      <c r="O52" s="6" t="str">
        <f>IF($E52="","",IF($E52="not included",K52,VLOOKUP($E52,'2023 DID-list_Part A'!$A$8:$L$273,12,FALSE)))</f>
        <v/>
      </c>
      <c r="P52" s="181"/>
      <c r="Q52" s="152" t="str">
        <f t="shared" si="0"/>
        <v>N</v>
      </c>
    </row>
    <row r="53" spans="1:17">
      <c r="A53" s="5">
        <v>44</v>
      </c>
      <c r="B53" s="6" t="str">
        <f>IF('Ingoing substances'!B53="","",'Ingoing substances'!B53)</f>
        <v/>
      </c>
      <c r="C53" s="6" t="str">
        <f>IF('Ingoing substances'!C53="","",'Ingoing substances'!C53)</f>
        <v/>
      </c>
      <c r="D53" s="6" t="str">
        <f>IF('Ingoing substances'!G53="","",'Ingoing substances'!G53)</f>
        <v/>
      </c>
      <c r="E53" s="9"/>
      <c r="F53" s="6" t="str">
        <f>IF(E53="","",VLOOKUP($E53,'2023 DID-list_Part A'!$A$8:$L$273,3,FALSE))</f>
        <v/>
      </c>
      <c r="G53" s="6">
        <f>'Ingoing substances'!M53</f>
        <v>0</v>
      </c>
      <c r="H53" s="8"/>
      <c r="I53" s="8"/>
      <c r="J53" s="8"/>
      <c r="K53" s="8"/>
      <c r="L53" s="6" t="str">
        <f>IF($E53="","",IF($E53="not included",H53,VLOOKUP($E53,'2023 DID-list_Part A'!$A$8:$L$273,10,FALSE)))</f>
        <v/>
      </c>
      <c r="M53" s="6" t="str">
        <f>IF($E53="","",IF($E53="not included",I53,VLOOKUP($E53,'2023 DID-list_Part A'!$A$8:$L$273,9,FALSE)))</f>
        <v/>
      </c>
      <c r="N53" s="6" t="str">
        <f>IF($E53="","",IF($E53="not included",J53,VLOOKUP($E53,'2023 DID-list_Part A'!$A$8:$L$273,11,FALSE)))</f>
        <v/>
      </c>
      <c r="O53" s="6" t="str">
        <f>IF($E53="","",IF($E53="not included",K53,VLOOKUP($E53,'2023 DID-list_Part A'!$A$8:$L$273,12,FALSE)))</f>
        <v/>
      </c>
      <c r="P53" s="181"/>
      <c r="Q53" s="152" t="str">
        <f t="shared" si="0"/>
        <v>N</v>
      </c>
    </row>
    <row r="54" spans="1:17">
      <c r="A54" s="5">
        <v>45</v>
      </c>
      <c r="B54" s="6" t="str">
        <f>IF('Ingoing substances'!B54="","",'Ingoing substances'!B54)</f>
        <v/>
      </c>
      <c r="C54" s="6" t="str">
        <f>IF('Ingoing substances'!C54="","",'Ingoing substances'!C54)</f>
        <v/>
      </c>
      <c r="D54" s="6" t="str">
        <f>IF('Ingoing substances'!G54="","",'Ingoing substances'!G54)</f>
        <v/>
      </c>
      <c r="E54" s="9"/>
      <c r="F54" s="6" t="str">
        <f>IF(E54="","",VLOOKUP($E54,'2023 DID-list_Part A'!$A$8:$L$273,3,FALSE))</f>
        <v/>
      </c>
      <c r="G54" s="6">
        <f>'Ingoing substances'!M54</f>
        <v>0</v>
      </c>
      <c r="H54" s="8"/>
      <c r="I54" s="8"/>
      <c r="J54" s="8"/>
      <c r="K54" s="8"/>
      <c r="L54" s="6" t="str">
        <f>IF($E54="","",IF($E54="not included",H54,VLOOKUP($E54,'2023 DID-list_Part A'!$A$8:$L$273,10,FALSE)))</f>
        <v/>
      </c>
      <c r="M54" s="6" t="str">
        <f>IF($E54="","",IF($E54="not included",I54,VLOOKUP($E54,'2023 DID-list_Part A'!$A$8:$L$273,9,FALSE)))</f>
        <v/>
      </c>
      <c r="N54" s="6" t="str">
        <f>IF($E54="","",IF($E54="not included",J54,VLOOKUP($E54,'2023 DID-list_Part A'!$A$8:$L$273,11,FALSE)))</f>
        <v/>
      </c>
      <c r="O54" s="6" t="str">
        <f>IF($E54="","",IF($E54="not included",K54,VLOOKUP($E54,'2023 DID-list_Part A'!$A$8:$L$273,12,FALSE)))</f>
        <v/>
      </c>
      <c r="P54" s="181"/>
      <c r="Q54" s="152" t="str">
        <f t="shared" si="0"/>
        <v>N</v>
      </c>
    </row>
    <row r="55" spans="1:17">
      <c r="A55" s="5">
        <v>46</v>
      </c>
      <c r="B55" s="6" t="str">
        <f>IF('Ingoing substances'!B55="","",'Ingoing substances'!B55)</f>
        <v/>
      </c>
      <c r="C55" s="6" t="str">
        <f>IF('Ingoing substances'!C55="","",'Ingoing substances'!C55)</f>
        <v/>
      </c>
      <c r="D55" s="6" t="str">
        <f>IF('Ingoing substances'!G55="","",'Ingoing substances'!G55)</f>
        <v/>
      </c>
      <c r="E55" s="9"/>
      <c r="F55" s="6" t="str">
        <f>IF(E55="","",VLOOKUP($E55,'2023 DID-list_Part A'!$A$8:$L$273,3,FALSE))</f>
        <v/>
      </c>
      <c r="G55" s="6">
        <f>'Ingoing substances'!M55</f>
        <v>0</v>
      </c>
      <c r="H55" s="8"/>
      <c r="I55" s="8"/>
      <c r="J55" s="8"/>
      <c r="K55" s="8"/>
      <c r="L55" s="6" t="str">
        <f>IF($E55="","",IF($E55="not included",H55,VLOOKUP($E55,'2023 DID-list_Part A'!$A$8:$L$273,10,FALSE)))</f>
        <v/>
      </c>
      <c r="M55" s="6" t="str">
        <f>IF($E55="","",IF($E55="not included",I55,VLOOKUP($E55,'2023 DID-list_Part A'!$A$8:$L$273,9,FALSE)))</f>
        <v/>
      </c>
      <c r="N55" s="6" t="str">
        <f>IF($E55="","",IF($E55="not included",J55,VLOOKUP($E55,'2023 DID-list_Part A'!$A$8:$L$273,11,FALSE)))</f>
        <v/>
      </c>
      <c r="O55" s="6" t="str">
        <f>IF($E55="","",IF($E55="not included",K55,VLOOKUP($E55,'2023 DID-list_Part A'!$A$8:$L$273,12,FALSE)))</f>
        <v/>
      </c>
      <c r="P55" s="181"/>
      <c r="Q55" s="152" t="str">
        <f t="shared" si="0"/>
        <v>N</v>
      </c>
    </row>
    <row r="56" spans="1:17">
      <c r="A56" s="5">
        <v>47</v>
      </c>
      <c r="B56" s="6" t="str">
        <f>IF('Ingoing substances'!B56="","",'Ingoing substances'!B56)</f>
        <v/>
      </c>
      <c r="C56" s="6" t="str">
        <f>IF('Ingoing substances'!C56="","",'Ingoing substances'!C56)</f>
        <v/>
      </c>
      <c r="D56" s="6" t="str">
        <f>IF('Ingoing substances'!G56="","",'Ingoing substances'!G56)</f>
        <v/>
      </c>
      <c r="E56" s="9"/>
      <c r="F56" s="6" t="str">
        <f>IF(E56="","",VLOOKUP($E56,'2023 DID-list_Part A'!$A$8:$L$273,3,FALSE))</f>
        <v/>
      </c>
      <c r="G56" s="6">
        <f>'Ingoing substances'!M56</f>
        <v>0</v>
      </c>
      <c r="H56" s="8"/>
      <c r="I56" s="8"/>
      <c r="J56" s="8"/>
      <c r="K56" s="8"/>
      <c r="L56" s="6" t="str">
        <f>IF($E56="","",IF($E56="not included",H56,VLOOKUP($E56,'2023 DID-list_Part A'!$A$8:$L$273,10,FALSE)))</f>
        <v/>
      </c>
      <c r="M56" s="6" t="str">
        <f>IF($E56="","",IF($E56="not included",I56,VLOOKUP($E56,'2023 DID-list_Part A'!$A$8:$L$273,9,FALSE)))</f>
        <v/>
      </c>
      <c r="N56" s="6" t="str">
        <f>IF($E56="","",IF($E56="not included",J56,VLOOKUP($E56,'2023 DID-list_Part A'!$A$8:$L$273,11,FALSE)))</f>
        <v/>
      </c>
      <c r="O56" s="6" t="str">
        <f>IF($E56="","",IF($E56="not included",K56,VLOOKUP($E56,'2023 DID-list_Part A'!$A$8:$L$273,12,FALSE)))</f>
        <v/>
      </c>
      <c r="P56" s="181"/>
      <c r="Q56" s="152" t="str">
        <f t="shared" si="0"/>
        <v>N</v>
      </c>
    </row>
    <row r="57" spans="1:17">
      <c r="A57" s="5">
        <v>48</v>
      </c>
      <c r="B57" s="6" t="str">
        <f>IF('Ingoing substances'!B57="","",'Ingoing substances'!B57)</f>
        <v/>
      </c>
      <c r="C57" s="6" t="str">
        <f>IF('Ingoing substances'!C57="","",'Ingoing substances'!C57)</f>
        <v/>
      </c>
      <c r="D57" s="6" t="str">
        <f>IF('Ingoing substances'!G57="","",'Ingoing substances'!G57)</f>
        <v/>
      </c>
      <c r="E57" s="9"/>
      <c r="F57" s="6" t="str">
        <f>IF(E57="","",VLOOKUP($E57,'2023 DID-list_Part A'!$A$8:$L$273,3,FALSE))</f>
        <v/>
      </c>
      <c r="G57" s="6">
        <f>'Ingoing substances'!M57</f>
        <v>0</v>
      </c>
      <c r="H57" s="8"/>
      <c r="I57" s="8"/>
      <c r="J57" s="8"/>
      <c r="K57" s="8"/>
      <c r="L57" s="6" t="str">
        <f>IF($E57="","",IF($E57="not included",H57,VLOOKUP($E57,'2023 DID-list_Part A'!$A$8:$L$273,10,FALSE)))</f>
        <v/>
      </c>
      <c r="M57" s="6" t="str">
        <f>IF($E57="","",IF($E57="not included",I57,VLOOKUP($E57,'2023 DID-list_Part A'!$A$8:$L$273,9,FALSE)))</f>
        <v/>
      </c>
      <c r="N57" s="6" t="str">
        <f>IF($E57="","",IF($E57="not included",J57,VLOOKUP($E57,'2023 DID-list_Part A'!$A$8:$L$273,11,FALSE)))</f>
        <v/>
      </c>
      <c r="O57" s="6" t="str">
        <f>IF($E57="","",IF($E57="not included",K57,VLOOKUP($E57,'2023 DID-list_Part A'!$A$8:$L$273,12,FALSE)))</f>
        <v/>
      </c>
      <c r="P57" s="181"/>
      <c r="Q57" s="152" t="str">
        <f t="shared" si="0"/>
        <v>N</v>
      </c>
    </row>
    <row r="58" spans="1:17">
      <c r="A58" s="5">
        <v>49</v>
      </c>
      <c r="B58" s="6" t="str">
        <f>IF('Ingoing substances'!B58="","",'Ingoing substances'!B58)</f>
        <v/>
      </c>
      <c r="C58" s="6" t="str">
        <f>IF('Ingoing substances'!C58="","",'Ingoing substances'!C58)</f>
        <v/>
      </c>
      <c r="D58" s="6" t="str">
        <f>IF('Ingoing substances'!G58="","",'Ingoing substances'!G58)</f>
        <v/>
      </c>
      <c r="E58" s="9"/>
      <c r="F58" s="6" t="str">
        <f>IF(E58="","",VLOOKUP($E58,'2023 DID-list_Part A'!$A$8:$L$273,3,FALSE))</f>
        <v/>
      </c>
      <c r="G58" s="6">
        <f>'Ingoing substances'!M58</f>
        <v>0</v>
      </c>
      <c r="H58" s="8"/>
      <c r="I58" s="8"/>
      <c r="J58" s="8"/>
      <c r="K58" s="8"/>
      <c r="L58" s="6" t="str">
        <f>IF($E58="","",IF($E58="not included",H58,VLOOKUP($E58,'2023 DID-list_Part A'!$A$8:$L$273,10,FALSE)))</f>
        <v/>
      </c>
      <c r="M58" s="6" t="str">
        <f>IF($E58="","",IF($E58="not included",I58,VLOOKUP($E58,'2023 DID-list_Part A'!$A$8:$L$273,9,FALSE)))</f>
        <v/>
      </c>
      <c r="N58" s="6" t="str">
        <f>IF($E58="","",IF($E58="not included",J58,VLOOKUP($E58,'2023 DID-list_Part A'!$A$8:$L$273,11,FALSE)))</f>
        <v/>
      </c>
      <c r="O58" s="6" t="str">
        <f>IF($E58="","",IF($E58="not included",K58,VLOOKUP($E58,'2023 DID-list_Part A'!$A$8:$L$273,12,FALSE)))</f>
        <v/>
      </c>
      <c r="P58" s="181"/>
      <c r="Q58" s="152" t="str">
        <f t="shared" si="0"/>
        <v>N</v>
      </c>
    </row>
    <row r="59" spans="1:17">
      <c r="A59" s="5">
        <v>50</v>
      </c>
      <c r="B59" s="6" t="str">
        <f>IF('Ingoing substances'!B59="","",'Ingoing substances'!B59)</f>
        <v/>
      </c>
      <c r="C59" s="6" t="str">
        <f>IF('Ingoing substances'!C59="","",'Ingoing substances'!C59)</f>
        <v/>
      </c>
      <c r="D59" s="6" t="str">
        <f>IF('Ingoing substances'!G59="","",'Ingoing substances'!G59)</f>
        <v/>
      </c>
      <c r="E59" s="9"/>
      <c r="F59" s="6" t="str">
        <f>IF(E59="","",VLOOKUP($E59,'2023 DID-list_Part A'!$A$8:$L$273,3,FALSE))</f>
        <v/>
      </c>
      <c r="G59" s="6">
        <f>'Ingoing substances'!M59</f>
        <v>0</v>
      </c>
      <c r="H59" s="8"/>
      <c r="I59" s="8"/>
      <c r="J59" s="8"/>
      <c r="K59" s="8"/>
      <c r="L59" s="6" t="str">
        <f>IF($E59="","",IF($E59="not included",H59,VLOOKUP($E59,'2023 DID-list_Part A'!$A$8:$L$273,10,FALSE)))</f>
        <v/>
      </c>
      <c r="M59" s="6" t="str">
        <f>IF($E59="","",IF($E59="not included",I59,VLOOKUP($E59,'2023 DID-list_Part A'!$A$8:$L$273,9,FALSE)))</f>
        <v/>
      </c>
      <c r="N59" s="6" t="str">
        <f>IF($E59="","",IF($E59="not included",J59,VLOOKUP($E59,'2023 DID-list_Part A'!$A$8:$L$273,11,FALSE)))</f>
        <v/>
      </c>
      <c r="O59" s="6" t="str">
        <f>IF($E59="","",IF($E59="not included",K59,VLOOKUP($E59,'2023 DID-list_Part A'!$A$8:$L$273,12,FALSE)))</f>
        <v/>
      </c>
      <c r="P59" s="181"/>
      <c r="Q59" s="152" t="str">
        <f t="shared" si="0"/>
        <v>N</v>
      </c>
    </row>
    <row r="61" spans="1:17">
      <c r="B61" s="2" t="s">
        <v>410</v>
      </c>
    </row>
    <row r="62" spans="1:17">
      <c r="B62" s="311"/>
      <c r="C62" s="312"/>
      <c r="D62" s="312"/>
      <c r="E62" s="312"/>
      <c r="F62" s="312"/>
      <c r="G62" s="312"/>
      <c r="H62" s="313"/>
    </row>
    <row r="63" spans="1:17">
      <c r="B63" s="314"/>
      <c r="C63" s="315"/>
      <c r="D63" s="315"/>
      <c r="E63" s="315"/>
      <c r="F63" s="315"/>
      <c r="G63" s="315"/>
      <c r="H63" s="316"/>
    </row>
    <row r="64" spans="1:17">
      <c r="B64" s="314"/>
      <c r="C64" s="315"/>
      <c r="D64" s="315"/>
      <c r="E64" s="315"/>
      <c r="F64" s="315"/>
      <c r="G64" s="315"/>
      <c r="H64" s="316"/>
    </row>
    <row r="65" spans="2:8">
      <c r="B65" s="317"/>
      <c r="C65" s="318"/>
      <c r="D65" s="318"/>
      <c r="E65" s="318"/>
      <c r="F65" s="318"/>
      <c r="G65" s="318"/>
      <c r="H65" s="319"/>
    </row>
  </sheetData>
  <sheetProtection algorithmName="SHA-512" hashValue="fI3DRb+5QDIaeyWXBc2nb6j0jwh3jYMga033wslHnkc7jt6bMCBOGZPwUc+pysyB38N/VODe+cdhCQcJfXfZFQ==" saltValue="u3ULgYca8LOlT+IsYCO8hw==" spinCount="100000" sheet="1" selectLockedCells="1"/>
  <autoFilter ref="B8:B59" xr:uid="{00000000-0009-0000-0000-000003000000}"/>
  <mergeCells count="13">
    <mergeCell ref="B62:H65"/>
    <mergeCell ref="B1:D1"/>
    <mergeCell ref="C2:D2"/>
    <mergeCell ref="C3:D3"/>
    <mergeCell ref="C4:D4"/>
    <mergeCell ref="D8:D9"/>
    <mergeCell ref="E8:E9"/>
    <mergeCell ref="F8:F9"/>
    <mergeCell ref="L8:L9"/>
    <mergeCell ref="M8:M9"/>
    <mergeCell ref="N8:N9"/>
    <mergeCell ref="O8:O9"/>
    <mergeCell ref="H8:K8"/>
  </mergeCells>
  <conditionalFormatting sqref="E3">
    <cfRule type="expression" dxfId="57" priority="1">
      <formula>$C$3="Leave-on product"</formula>
    </cfRule>
  </conditionalFormatting>
  <conditionalFormatting sqref="H11:K59">
    <cfRule type="expression" dxfId="56" priority="3">
      <formula>$E11="not included"</formula>
    </cfRule>
  </conditionalFormatting>
  <conditionalFormatting sqref="P11:P59">
    <cfRule type="expression" dxfId="55" priority="2">
      <formula>O11="O"</formula>
    </cfRule>
  </conditionalFormatting>
  <dataValidations count="3">
    <dataValidation type="list" allowBlank="1" showInputMessage="1" showErrorMessage="1" sqref="J11:J59" xr:uid="{00000000-0002-0000-0300-000000000000}">
      <formula1>"R,I,P,O,NA"</formula1>
    </dataValidation>
    <dataValidation type="list" allowBlank="1" showInputMessage="1" showErrorMessage="1" sqref="K11:K59" xr:uid="{00000000-0002-0000-0300-000001000000}">
      <formula1>"Y,N,O,NA"</formula1>
    </dataValidation>
    <dataValidation type="list" allowBlank="1" showInputMessage="1" showErrorMessage="1" sqref="P11:P59" xr:uid="{00000000-0002-0000-0300-000002000000}">
      <formula1>"1. low adsorption (A&lt;25%), 2. high desorption (D&gt;75%), 3. non-bioaccumulating, Test present,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Hoja2!$B$48:$B$51</xm:f>
          </x14:formula1>
          <xm:sqref>H11:H59</xm:sqref>
        </x14:dataValidation>
        <x14:dataValidation type="list" allowBlank="1" showInputMessage="1" showErrorMessage="1" xr:uid="{00000000-0002-0000-0300-000004000000}">
          <x14:formula1>
            <xm:f>'2023 DID-list_Part A'!$A$8:$A$273</xm:f>
          </x14:formula1>
          <xm:sqref>E11:E59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1" filterMode="1">
    <outlinePr showOutlineSymbols="0"/>
  </sheetPr>
  <dimension ref="A1:L68"/>
  <sheetViews>
    <sheetView showOutlineSymbols="0" zoomScaleNormal="100" workbookViewId="0">
      <selection activeCell="B65" sqref="B65:H68"/>
    </sheetView>
  </sheetViews>
  <sheetFormatPr defaultColWidth="11.42578125" defaultRowHeight="12.75"/>
  <cols>
    <col min="1" max="1" width="5.42578125" style="2" customWidth="1"/>
    <col min="2" max="2" width="30.7109375" style="2" customWidth="1"/>
    <col min="3" max="3" width="20.28515625" style="2" bestFit="1" customWidth="1"/>
    <col min="4" max="4" width="20.7109375" style="2" customWidth="1"/>
    <col min="5" max="5" width="21.85546875" style="2" customWidth="1"/>
    <col min="6" max="6" width="23" style="2" customWidth="1"/>
    <col min="7" max="7" width="20.7109375" style="2" customWidth="1"/>
    <col min="8" max="9" width="21.85546875" style="2" customWidth="1"/>
    <col min="10" max="10" width="23" style="2" customWidth="1"/>
    <col min="11" max="12" width="12.140625" style="2" customWidth="1"/>
    <col min="13" max="16384" width="11.42578125" style="2"/>
  </cols>
  <sheetData>
    <row r="1" spans="1:12">
      <c r="B1" s="321" t="s">
        <v>356</v>
      </c>
      <c r="C1" s="322"/>
      <c r="D1" s="322"/>
      <c r="E1" s="98"/>
    </row>
    <row r="2" spans="1:12">
      <c r="B2" s="96" t="s">
        <v>229</v>
      </c>
      <c r="C2" s="334" t="str">
        <f>'Product formulation'!C2</f>
        <v/>
      </c>
      <c r="D2" s="334"/>
      <c r="E2" s="24"/>
    </row>
    <row r="3" spans="1:12">
      <c r="B3" s="96" t="s">
        <v>9</v>
      </c>
      <c r="C3" s="334" t="str">
        <f>'Product formulation'!C3</f>
        <v>Rinse-off product</v>
      </c>
      <c r="D3" s="334"/>
      <c r="E3" s="24"/>
    </row>
    <row r="4" spans="1:12">
      <c r="B4" s="97" t="s">
        <v>257</v>
      </c>
      <c r="C4" s="334" t="str">
        <f>'Product formulation'!C4</f>
        <v>Animal care product</v>
      </c>
      <c r="D4" s="334"/>
      <c r="E4" s="24"/>
    </row>
    <row r="6" spans="1:12" s="132" customFormat="1" ht="15.75">
      <c r="A6" s="132" t="s">
        <v>279</v>
      </c>
    </row>
    <row r="7" spans="1:12">
      <c r="C7" s="56"/>
    </row>
    <row r="8" spans="1:12" s="1" customFormat="1" ht="38.25">
      <c r="A8" s="4"/>
      <c r="B8" s="176" t="s">
        <v>12</v>
      </c>
      <c r="C8" s="128" t="s">
        <v>17</v>
      </c>
      <c r="D8" s="128" t="s">
        <v>221</v>
      </c>
      <c r="E8" s="128" t="s">
        <v>235</v>
      </c>
      <c r="F8" s="128" t="s">
        <v>235</v>
      </c>
      <c r="G8" s="128" t="s">
        <v>225</v>
      </c>
      <c r="H8" s="128" t="s">
        <v>226</v>
      </c>
      <c r="I8" s="128" t="s">
        <v>227</v>
      </c>
      <c r="J8" s="128" t="s">
        <v>399</v>
      </c>
      <c r="K8" s="2"/>
      <c r="L8" s="2"/>
    </row>
    <row r="9" spans="1:12" s="1" customFormat="1" ht="25.5">
      <c r="A9" s="4"/>
      <c r="B9" s="177" t="s">
        <v>434</v>
      </c>
      <c r="C9" s="133" t="s">
        <v>7</v>
      </c>
      <c r="D9" s="133" t="s">
        <v>222</v>
      </c>
      <c r="E9" s="133" t="s">
        <v>223</v>
      </c>
      <c r="F9" s="133" t="s">
        <v>224</v>
      </c>
      <c r="G9" s="133" t="s">
        <v>222</v>
      </c>
      <c r="H9" s="133" t="s">
        <v>223</v>
      </c>
      <c r="I9" s="133" t="s">
        <v>228</v>
      </c>
      <c r="J9" s="133" t="s">
        <v>228</v>
      </c>
      <c r="K9" s="2"/>
      <c r="L9" s="2"/>
    </row>
    <row r="10" spans="1:12">
      <c r="A10" s="5">
        <v>1</v>
      </c>
      <c r="B10" s="15" t="s">
        <v>11</v>
      </c>
      <c r="C10" s="15">
        <f>'Rinse-off - DID'!G10</f>
        <v>0</v>
      </c>
      <c r="D10" s="15"/>
      <c r="E10" s="6"/>
      <c r="F10" s="15"/>
      <c r="G10" s="15"/>
      <c r="H10" s="6"/>
      <c r="I10" s="6"/>
      <c r="J10" s="15"/>
    </row>
    <row r="11" spans="1:12">
      <c r="A11" s="5">
        <v>2</v>
      </c>
      <c r="B11" s="6" t="str">
        <f>'Rinse-off - DID'!B11</f>
        <v/>
      </c>
      <c r="C11" s="15" t="str">
        <f>IF(B11="","",'Rinse-off - DID'!G11)</f>
        <v/>
      </c>
      <c r="D11" s="6" t="str">
        <f>IF(B11="","",IF('Ingoing substances'!V11="Yes",C11,""))</f>
        <v/>
      </c>
      <c r="E11" s="16" t="str">
        <f>IF(B11="","",C11*'Rinse-off - DID'!L11*1000/'Rinse-off - DID'!M11)</f>
        <v/>
      </c>
      <c r="F11" s="16" t="str">
        <f>IF(B11="","",E11/$D$60)</f>
        <v/>
      </c>
      <c r="G11" s="16" t="str">
        <f>IF(OR('Ingoing substances'!I11="N",'Rinse-off - DID'!N11="R"),"",'Results 1&amp;2'!C11)</f>
        <v/>
      </c>
      <c r="H11" s="16" t="str">
        <f>IF(OR('Ingoing substances'!I11="N",'Rinse-off - DID'!O11="Y"),"",D11)</f>
        <v/>
      </c>
      <c r="I11" s="16" t="str">
        <f>IF(C11="","",(IF(OR('Ingoing substances'!V11="No",'Rinse-off - DID'!N11="R"),"",C11*1000/$D$60)))</f>
        <v/>
      </c>
      <c r="J11" s="16" t="str">
        <f>IF(C11="","",(IF(OR('Ingoing substances'!V11="No",'Rinse-off - DID'!O11="Y",'Rinse-off - DID'!Q11="Y"),"",C11*1000/$D$60)))</f>
        <v/>
      </c>
    </row>
    <row r="12" spans="1:12" hidden="1">
      <c r="A12" s="5">
        <v>3</v>
      </c>
      <c r="B12" s="6" t="str">
        <f>'Rinse-off - DID'!B12</f>
        <v/>
      </c>
      <c r="C12" s="15" t="str">
        <f>IF(B12="","",'Rinse-off - DID'!G12)</f>
        <v/>
      </c>
      <c r="D12" s="6" t="str">
        <f>IF(B12="","",IF('Ingoing substances'!V12="Yes",C12,""))</f>
        <v/>
      </c>
      <c r="E12" s="16" t="str">
        <f>IF(B12="","",C12*'Rinse-off - DID'!L12*1000/'Rinse-off - DID'!M12)</f>
        <v/>
      </c>
      <c r="F12" s="16" t="str">
        <f t="shared" ref="F12:F59" si="0">IF(B12="","",E12/$D$60)</f>
        <v/>
      </c>
      <c r="G12" s="16" t="str">
        <f>IF(OR('Ingoing substances'!I12="N",'Rinse-off - DID'!N12="R"),"",'Results 1&amp;2'!C12)</f>
        <v/>
      </c>
      <c r="H12" s="16" t="str">
        <f>IF(OR('Ingoing substances'!I12="N",'Rinse-off - DID'!O12="Y"),"",D12)</f>
        <v/>
      </c>
      <c r="I12" s="16" t="str">
        <f>IF(C12="","",(IF(OR('Ingoing substances'!V12="No",'Rinse-off - DID'!N12="R"),"",C12*1000/$D$60)))</f>
        <v/>
      </c>
      <c r="J12" s="16" t="str">
        <f>IF(C12="","",(IF(OR('Ingoing substances'!V12="No",'Rinse-off - DID'!O12="Y",'Rinse-off - DID'!Q12="Y"),"",C12*1000/$D$60)))</f>
        <v/>
      </c>
    </row>
    <row r="13" spans="1:12" hidden="1">
      <c r="A13" s="5">
        <v>4</v>
      </c>
      <c r="B13" s="6" t="str">
        <f>'Rinse-off - DID'!B13</f>
        <v/>
      </c>
      <c r="C13" s="15" t="str">
        <f>IF(B13="","",'Rinse-off - DID'!G13)</f>
        <v/>
      </c>
      <c r="D13" s="6" t="str">
        <f>IF(B13="","",IF('Ingoing substances'!V13="Yes",C13,""))</f>
        <v/>
      </c>
      <c r="E13" s="16" t="str">
        <f>IF(B13="","",C13*'Rinse-off - DID'!L13*1000/'Rinse-off - DID'!M13)</f>
        <v/>
      </c>
      <c r="F13" s="16" t="str">
        <f t="shared" si="0"/>
        <v/>
      </c>
      <c r="G13" s="16" t="str">
        <f>IF(OR('Ingoing substances'!I13="N",'Rinse-off - DID'!N13="R"),"",'Results 1&amp;2'!C13)</f>
        <v/>
      </c>
      <c r="H13" s="16" t="str">
        <f>IF(OR('Ingoing substances'!I13="N",'Rinse-off - DID'!O13="Y"),"",D13)</f>
        <v/>
      </c>
      <c r="I13" s="16" t="str">
        <f>IF(C13="","",(IF(OR('Ingoing substances'!V13="No",'Rinse-off - DID'!N13="R"),"",C13*1000/$D$60)))</f>
        <v/>
      </c>
      <c r="J13" s="16" t="str">
        <f>IF(C13="","",(IF(OR('Ingoing substances'!V13="No",'Rinse-off - DID'!O13="Y",'Rinse-off - DID'!Q13="Y"),"",C13*1000/$D$60)))</f>
        <v/>
      </c>
    </row>
    <row r="14" spans="1:12" hidden="1">
      <c r="A14" s="5">
        <v>5</v>
      </c>
      <c r="B14" s="6" t="str">
        <f>'Rinse-off - DID'!B14</f>
        <v/>
      </c>
      <c r="C14" s="15" t="str">
        <f>IF(B14="","",'Rinse-off - DID'!G14)</f>
        <v/>
      </c>
      <c r="D14" s="6" t="str">
        <f>IF(B14="","",IF('Ingoing substances'!V14="Yes",C14,""))</f>
        <v/>
      </c>
      <c r="E14" s="16" t="str">
        <f>IF(B14="","",C14*'Rinse-off - DID'!L14*1000/'Rinse-off - DID'!M14)</f>
        <v/>
      </c>
      <c r="F14" s="16" t="str">
        <f t="shared" si="0"/>
        <v/>
      </c>
      <c r="G14" s="16" t="str">
        <f>IF(OR('Ingoing substances'!I14="N",'Rinse-off - DID'!N14="R"),"",'Results 1&amp;2'!C14)</f>
        <v/>
      </c>
      <c r="H14" s="16" t="str">
        <f>IF(OR('Ingoing substances'!I14="N",'Rinse-off - DID'!O14="Y"),"",D14)</f>
        <v/>
      </c>
      <c r="I14" s="16" t="str">
        <f>IF(C14="","",(IF(OR('Ingoing substances'!V14="No",'Rinse-off - DID'!N14="R"),"",C14*1000/$D$60)))</f>
        <v/>
      </c>
      <c r="J14" s="16" t="str">
        <f>IF(C14="","",(IF(OR('Ingoing substances'!V14="No",'Rinse-off - DID'!O14="Y",'Rinse-off - DID'!Q14="Y"),"",C14*1000/$D$60)))</f>
        <v/>
      </c>
    </row>
    <row r="15" spans="1:12" hidden="1">
      <c r="A15" s="5">
        <v>6</v>
      </c>
      <c r="B15" s="6" t="str">
        <f>'Rinse-off - DID'!B15</f>
        <v/>
      </c>
      <c r="C15" s="15" t="str">
        <f>IF(B15="","",'Rinse-off - DID'!G15)</f>
        <v/>
      </c>
      <c r="D15" s="6" t="str">
        <f>IF(B15="","",IF('Ingoing substances'!V15="Yes",C15,""))</f>
        <v/>
      </c>
      <c r="E15" s="16" t="str">
        <f>IF(B15="","",C15*'Rinse-off - DID'!L15*1000/'Rinse-off - DID'!M15)</f>
        <v/>
      </c>
      <c r="F15" s="16" t="str">
        <f t="shared" si="0"/>
        <v/>
      </c>
      <c r="G15" s="16" t="str">
        <f>IF(OR('Ingoing substances'!I15="N",'Rinse-off - DID'!N15="R"),"",'Results 1&amp;2'!C15)</f>
        <v/>
      </c>
      <c r="H15" s="16" t="str">
        <f>IF(OR('Ingoing substances'!I15="N",'Rinse-off - DID'!O15="Y"),"",D15)</f>
        <v/>
      </c>
      <c r="I15" s="16" t="str">
        <f>IF(C15="","",(IF(OR('Ingoing substances'!V15="No",'Rinse-off - DID'!N15="R"),"",C15*1000/$D$60)))</f>
        <v/>
      </c>
      <c r="J15" s="16" t="str">
        <f>IF(C15="","",(IF(OR('Ingoing substances'!V15="No",'Rinse-off - DID'!O15="Y",'Rinse-off - DID'!Q15="Y"),"",C15*1000/$D$60)))</f>
        <v/>
      </c>
    </row>
    <row r="16" spans="1:12" hidden="1">
      <c r="A16" s="5">
        <v>7</v>
      </c>
      <c r="B16" s="6" t="str">
        <f>'Rinse-off - DID'!B16</f>
        <v/>
      </c>
      <c r="C16" s="15" t="str">
        <f>IF(B16="","",'Rinse-off - DID'!G16)</f>
        <v/>
      </c>
      <c r="D16" s="6" t="str">
        <f>IF(B16="","",IF('Ingoing substances'!V16="Yes",C16,""))</f>
        <v/>
      </c>
      <c r="E16" s="16" t="str">
        <f>IF(B16="","",C16*'Rinse-off - DID'!L16*1000/'Rinse-off - DID'!M16)</f>
        <v/>
      </c>
      <c r="F16" s="16" t="str">
        <f t="shared" si="0"/>
        <v/>
      </c>
      <c r="G16" s="16" t="str">
        <f>IF(OR('Ingoing substances'!I16="N",'Rinse-off - DID'!N16="R"),"",'Results 1&amp;2'!C16)</f>
        <v/>
      </c>
      <c r="H16" s="16" t="str">
        <f>IF(OR('Ingoing substances'!I16="N",'Rinse-off - DID'!O16="Y"),"",D16)</f>
        <v/>
      </c>
      <c r="I16" s="16" t="str">
        <f>IF(C16="","",(IF(OR('Ingoing substances'!V16="No",'Rinse-off - DID'!N16="R"),"",C16*1000/$D$60)))</f>
        <v/>
      </c>
      <c r="J16" s="16" t="str">
        <f>IF(C16="","",(IF(OR('Ingoing substances'!V16="No",'Rinse-off - DID'!O16="Y",'Rinse-off - DID'!Q16="Y"),"",C16*1000/$D$60)))</f>
        <v/>
      </c>
    </row>
    <row r="17" spans="1:10" hidden="1">
      <c r="A17" s="5">
        <v>8</v>
      </c>
      <c r="B17" s="6" t="str">
        <f>'Rinse-off - DID'!B17</f>
        <v/>
      </c>
      <c r="C17" s="15" t="str">
        <f>IF(B17="","",'Rinse-off - DID'!G17)</f>
        <v/>
      </c>
      <c r="D17" s="6" t="str">
        <f>IF(B17="","",IF('Ingoing substances'!V17="Yes",C17,""))</f>
        <v/>
      </c>
      <c r="E17" s="16" t="str">
        <f>IF(B17="","",C17*'Rinse-off - DID'!L17*1000/'Rinse-off - DID'!M17)</f>
        <v/>
      </c>
      <c r="F17" s="16" t="str">
        <f t="shared" si="0"/>
        <v/>
      </c>
      <c r="G17" s="16" t="str">
        <f>IF(OR('Ingoing substances'!I17="N",'Rinse-off - DID'!N17="R"),"",'Results 1&amp;2'!C17)</f>
        <v/>
      </c>
      <c r="H17" s="16" t="str">
        <f>IF(OR('Ingoing substances'!I17="N",'Rinse-off - DID'!O17="Y"),"",D17)</f>
        <v/>
      </c>
      <c r="I17" s="16" t="str">
        <f>IF(C17="","",(IF(OR('Ingoing substances'!V17="No",'Rinse-off - DID'!N17="R"),"",C17*1000/$D$60)))</f>
        <v/>
      </c>
      <c r="J17" s="16" t="str">
        <f>IF(C17="","",(IF(OR('Ingoing substances'!V17="No",'Rinse-off - DID'!O17="Y",'Rinse-off - DID'!Q17="Y"),"",C17*1000/$D$60)))</f>
        <v/>
      </c>
    </row>
    <row r="18" spans="1:10" hidden="1">
      <c r="A18" s="5">
        <v>9</v>
      </c>
      <c r="B18" s="6" t="str">
        <f>'Rinse-off - DID'!B18</f>
        <v/>
      </c>
      <c r="C18" s="15" t="str">
        <f>IF(B18="","",'Rinse-off - DID'!G18)</f>
        <v/>
      </c>
      <c r="D18" s="6" t="str">
        <f>IF(B18="","",IF('Ingoing substances'!V18="Yes",C18,""))</f>
        <v/>
      </c>
      <c r="E18" s="16" t="str">
        <f>IF(B18="","",C18*'Rinse-off - DID'!L18*1000/'Rinse-off - DID'!M18)</f>
        <v/>
      </c>
      <c r="F18" s="16" t="str">
        <f t="shared" si="0"/>
        <v/>
      </c>
      <c r="G18" s="16" t="str">
        <f>IF(OR('Ingoing substances'!I18="N",'Rinse-off - DID'!N18="R"),"",'Results 1&amp;2'!C18)</f>
        <v/>
      </c>
      <c r="H18" s="16" t="str">
        <f>IF(OR('Ingoing substances'!I18="N",'Rinse-off - DID'!O18="Y"),"",D18)</f>
        <v/>
      </c>
      <c r="I18" s="16" t="str">
        <f>IF(C18="","",(IF(OR('Ingoing substances'!V18="No",'Rinse-off - DID'!N18="R"),"",C18*1000/$D$60)))</f>
        <v/>
      </c>
      <c r="J18" s="16" t="str">
        <f>IF(C18="","",(IF(OR('Ingoing substances'!V18="No",'Rinse-off - DID'!O18="Y",'Rinse-off - DID'!Q18="Y"),"",C18*1000/$D$60)))</f>
        <v/>
      </c>
    </row>
    <row r="19" spans="1:10" hidden="1">
      <c r="A19" s="5">
        <v>10</v>
      </c>
      <c r="B19" s="6" t="str">
        <f>'Rinse-off - DID'!B19</f>
        <v/>
      </c>
      <c r="C19" s="15" t="str">
        <f>IF(B19="","",'Rinse-off - DID'!G19)</f>
        <v/>
      </c>
      <c r="D19" s="6" t="str">
        <f>IF(B19="","",IF('Ingoing substances'!V19="Yes",C19,""))</f>
        <v/>
      </c>
      <c r="E19" s="16" t="str">
        <f>IF(B19="","",C19*'Rinse-off - DID'!L19*1000/'Rinse-off - DID'!M19)</f>
        <v/>
      </c>
      <c r="F19" s="16" t="str">
        <f t="shared" si="0"/>
        <v/>
      </c>
      <c r="G19" s="16" t="str">
        <f>IF(OR('Ingoing substances'!I19="N",'Rinse-off - DID'!N19="R"),"",'Results 1&amp;2'!C19)</f>
        <v/>
      </c>
      <c r="H19" s="16" t="str">
        <f>IF(OR('Ingoing substances'!I19="N",'Rinse-off - DID'!O19="Y"),"",D19)</f>
        <v/>
      </c>
      <c r="I19" s="16" t="str">
        <f>IF(C19="","",(IF(OR('Ingoing substances'!V19="No",'Rinse-off - DID'!N19="R"),"",C19*1000/$D$60)))</f>
        <v/>
      </c>
      <c r="J19" s="16" t="str">
        <f>IF(C19="","",(IF(OR('Ingoing substances'!V19="No",'Rinse-off - DID'!O19="Y",'Rinse-off - DID'!Q19="Y"),"",C19*1000/$D$60)))</f>
        <v/>
      </c>
    </row>
    <row r="20" spans="1:10" hidden="1">
      <c r="A20" s="5">
        <v>11</v>
      </c>
      <c r="B20" s="6" t="str">
        <f>'Rinse-off - DID'!B20</f>
        <v/>
      </c>
      <c r="C20" s="15" t="str">
        <f>IF(B20="","",'Rinse-off - DID'!G20)</f>
        <v/>
      </c>
      <c r="D20" s="6" t="str">
        <f>IF(B20="","",IF('Ingoing substances'!V20="Yes",C20,""))</f>
        <v/>
      </c>
      <c r="E20" s="16" t="str">
        <f>IF(B20="","",C20*'Rinse-off - DID'!L20*1000/'Rinse-off - DID'!M20)</f>
        <v/>
      </c>
      <c r="F20" s="16" t="str">
        <f t="shared" si="0"/>
        <v/>
      </c>
      <c r="G20" s="16" t="str">
        <f>IF(OR('Ingoing substances'!I20="N",'Rinse-off - DID'!N20="R"),"",'Results 1&amp;2'!C20)</f>
        <v/>
      </c>
      <c r="H20" s="16" t="str">
        <f>IF(OR('Ingoing substances'!I20="N",'Rinse-off - DID'!O20="Y"),"",D20)</f>
        <v/>
      </c>
      <c r="I20" s="16" t="str">
        <f>IF(C20="","",(IF(OR('Ingoing substances'!V20="No",'Rinse-off - DID'!N20="R"),"",C20*1000/$D$60)))</f>
        <v/>
      </c>
      <c r="J20" s="16" t="str">
        <f>IF(C20="","",(IF(OR('Ingoing substances'!V20="No",'Rinse-off - DID'!O20="Y",'Rinse-off - DID'!Q20="Y"),"",C20*1000/$D$60)))</f>
        <v/>
      </c>
    </row>
    <row r="21" spans="1:10" hidden="1">
      <c r="A21" s="5">
        <v>12</v>
      </c>
      <c r="B21" s="6" t="str">
        <f>'Rinse-off - DID'!B21</f>
        <v/>
      </c>
      <c r="C21" s="15" t="str">
        <f>IF(B21="","",'Rinse-off - DID'!G21)</f>
        <v/>
      </c>
      <c r="D21" s="6" t="str">
        <f>IF(B21="","",IF('Ingoing substances'!V21="Yes",C21,""))</f>
        <v/>
      </c>
      <c r="E21" s="16" t="str">
        <f>IF(B21="","",C21*'Rinse-off - DID'!L21*1000/'Rinse-off - DID'!M21)</f>
        <v/>
      </c>
      <c r="F21" s="16" t="str">
        <f t="shared" si="0"/>
        <v/>
      </c>
      <c r="G21" s="16" t="str">
        <f>IF(OR('Ingoing substances'!I21="N",'Rinse-off - DID'!N21="R"),"",'Results 1&amp;2'!C21)</f>
        <v/>
      </c>
      <c r="H21" s="16" t="str">
        <f>IF(OR('Ingoing substances'!I21="N",'Rinse-off - DID'!O21="Y"),"",D21)</f>
        <v/>
      </c>
      <c r="I21" s="16" t="str">
        <f>IF(C21="","",(IF(OR('Ingoing substances'!V21="No",'Rinse-off - DID'!N21="R"),"",C21*1000/$D$60)))</f>
        <v/>
      </c>
      <c r="J21" s="16" t="str">
        <f>IF(C21="","",(IF(OR('Ingoing substances'!V21="No",'Rinse-off - DID'!O21="Y",'Rinse-off - DID'!Q21="Y"),"",C21*1000/$D$60)))</f>
        <v/>
      </c>
    </row>
    <row r="22" spans="1:10" hidden="1">
      <c r="A22" s="5">
        <v>13</v>
      </c>
      <c r="B22" s="6" t="str">
        <f>'Rinse-off - DID'!B22</f>
        <v/>
      </c>
      <c r="C22" s="15" t="str">
        <f>IF(B22="","",'Rinse-off - DID'!G22)</f>
        <v/>
      </c>
      <c r="D22" s="6" t="str">
        <f>IF(B22="","",IF('Ingoing substances'!V22="Yes",C22,""))</f>
        <v/>
      </c>
      <c r="E22" s="16" t="str">
        <f>IF(B22="","",C22*'Rinse-off - DID'!L22*1000/'Rinse-off - DID'!M22)</f>
        <v/>
      </c>
      <c r="F22" s="16" t="str">
        <f t="shared" si="0"/>
        <v/>
      </c>
      <c r="G22" s="16" t="str">
        <f>IF(OR('Ingoing substances'!I22="N",'Rinse-off - DID'!N22="R"),"",'Results 1&amp;2'!C22)</f>
        <v/>
      </c>
      <c r="H22" s="16" t="str">
        <f>IF(OR('Ingoing substances'!I22="N",'Rinse-off - DID'!O22="Y"),"",D22)</f>
        <v/>
      </c>
      <c r="I22" s="16" t="str">
        <f>IF(C22="","",(IF(OR('Ingoing substances'!V22="No",'Rinse-off - DID'!N22="R"),"",C22*1000/$D$60)))</f>
        <v/>
      </c>
      <c r="J22" s="16" t="str">
        <f>IF(C22="","",(IF(OR('Ingoing substances'!V22="No",'Rinse-off - DID'!O22="Y",'Rinse-off - DID'!Q22="Y"),"",C22*1000/$D$60)))</f>
        <v/>
      </c>
    </row>
    <row r="23" spans="1:10" hidden="1">
      <c r="A23" s="5">
        <v>14</v>
      </c>
      <c r="B23" s="6" t="str">
        <f>'Rinse-off - DID'!B23</f>
        <v/>
      </c>
      <c r="C23" s="15" t="str">
        <f>IF(B23="","",'Rinse-off - DID'!G23)</f>
        <v/>
      </c>
      <c r="D23" s="6" t="str">
        <f>IF(B23="","",IF('Ingoing substances'!V23="Yes",C23,""))</f>
        <v/>
      </c>
      <c r="E23" s="16" t="str">
        <f>IF(B23="","",C23*'Rinse-off - DID'!L23*1000/'Rinse-off - DID'!M23)</f>
        <v/>
      </c>
      <c r="F23" s="16" t="str">
        <f t="shared" si="0"/>
        <v/>
      </c>
      <c r="G23" s="16" t="str">
        <f>IF(OR('Ingoing substances'!I23="N",'Rinse-off - DID'!N23="R"),"",'Results 1&amp;2'!C23)</f>
        <v/>
      </c>
      <c r="H23" s="16" t="str">
        <f>IF(OR('Ingoing substances'!I23="N",'Rinse-off - DID'!O23="Y"),"",D23)</f>
        <v/>
      </c>
      <c r="I23" s="16" t="str">
        <f>IF(C23="","",(IF(OR('Ingoing substances'!V23="No",'Rinse-off - DID'!N23="R"),"",C23*1000/$D$60)))</f>
        <v/>
      </c>
      <c r="J23" s="16" t="str">
        <f>IF(C23="","",(IF(OR('Ingoing substances'!V23="No",'Rinse-off - DID'!O23="Y",'Rinse-off - DID'!Q23="Y"),"",C23*1000/$D$60)))</f>
        <v/>
      </c>
    </row>
    <row r="24" spans="1:10" hidden="1">
      <c r="A24" s="5">
        <v>15</v>
      </c>
      <c r="B24" s="6" t="str">
        <f>'Rinse-off - DID'!B24</f>
        <v/>
      </c>
      <c r="C24" s="15" t="str">
        <f>IF(B24="","",'Rinse-off - DID'!G24)</f>
        <v/>
      </c>
      <c r="D24" s="6" t="str">
        <f>IF(B24="","",IF('Ingoing substances'!V24="Yes",C24,""))</f>
        <v/>
      </c>
      <c r="E24" s="16" t="str">
        <f>IF(B24="","",C24*'Rinse-off - DID'!L24*1000/'Rinse-off - DID'!M24)</f>
        <v/>
      </c>
      <c r="F24" s="16" t="str">
        <f t="shared" si="0"/>
        <v/>
      </c>
      <c r="G24" s="16" t="str">
        <f>IF(OR('Ingoing substances'!I24="N",'Rinse-off - DID'!N24="R"),"",'Results 1&amp;2'!C24)</f>
        <v/>
      </c>
      <c r="H24" s="16" t="str">
        <f>IF(OR('Ingoing substances'!I24="N",'Rinse-off - DID'!O24="Y"),"",D24)</f>
        <v/>
      </c>
      <c r="I24" s="16" t="str">
        <f>IF(C24="","",(IF(OR('Ingoing substances'!V24="No",'Rinse-off - DID'!N24="R"),"",C24*1000/$D$60)))</f>
        <v/>
      </c>
      <c r="J24" s="16" t="str">
        <f>IF(C24="","",(IF(OR('Ingoing substances'!V24="No",'Rinse-off - DID'!O24="Y",'Rinse-off - DID'!Q24="Y"),"",C24*1000/$D$60)))</f>
        <v/>
      </c>
    </row>
    <row r="25" spans="1:10" hidden="1">
      <c r="A25" s="5">
        <v>16</v>
      </c>
      <c r="B25" s="6" t="str">
        <f>'Rinse-off - DID'!B25</f>
        <v/>
      </c>
      <c r="C25" s="15" t="str">
        <f>IF(B25="","",'Rinse-off - DID'!G25)</f>
        <v/>
      </c>
      <c r="D25" s="6" t="str">
        <f>IF(B25="","",IF('Ingoing substances'!V25="Yes",C25,""))</f>
        <v/>
      </c>
      <c r="E25" s="16" t="str">
        <f>IF(B25="","",C25*'Rinse-off - DID'!L25*1000/'Rinse-off - DID'!M25)</f>
        <v/>
      </c>
      <c r="F25" s="16" t="str">
        <f t="shared" si="0"/>
        <v/>
      </c>
      <c r="G25" s="16" t="str">
        <f>IF(OR('Ingoing substances'!I25="N",'Rinse-off - DID'!N25="R"),"",'Results 1&amp;2'!C25)</f>
        <v/>
      </c>
      <c r="H25" s="16" t="str">
        <f>IF(OR('Ingoing substances'!I25="N",'Rinse-off - DID'!O25="Y"),"",D25)</f>
        <v/>
      </c>
      <c r="I25" s="16" t="str">
        <f>IF(C25="","",(IF(OR('Ingoing substances'!V25="No",'Rinse-off - DID'!N25="R"),"",C25*1000/$D$60)))</f>
        <v/>
      </c>
      <c r="J25" s="16" t="str">
        <f>IF(C25="","",(IF(OR('Ingoing substances'!V25="No",'Rinse-off - DID'!O25="Y",'Rinse-off - DID'!Q25="Y"),"",C25*1000/$D$60)))</f>
        <v/>
      </c>
    </row>
    <row r="26" spans="1:10" hidden="1">
      <c r="A26" s="5">
        <v>17</v>
      </c>
      <c r="B26" s="6" t="str">
        <f>'Rinse-off - DID'!B26</f>
        <v/>
      </c>
      <c r="C26" s="15" t="str">
        <f>IF(B26="","",'Rinse-off - DID'!G26)</f>
        <v/>
      </c>
      <c r="D26" s="6" t="str">
        <f>IF(B26="","",IF('Ingoing substances'!V26="Yes",C26,""))</f>
        <v/>
      </c>
      <c r="E26" s="16" t="str">
        <f>IF(B26="","",C26*'Rinse-off - DID'!L26*1000/'Rinse-off - DID'!M26)</f>
        <v/>
      </c>
      <c r="F26" s="16" t="str">
        <f t="shared" si="0"/>
        <v/>
      </c>
      <c r="G26" s="16" t="str">
        <f>IF(OR('Ingoing substances'!I26="N",'Rinse-off - DID'!N26="R"),"",'Results 1&amp;2'!C26)</f>
        <v/>
      </c>
      <c r="H26" s="16" t="str">
        <f>IF(OR('Ingoing substances'!I26="N",'Rinse-off - DID'!O26="Y"),"",D26)</f>
        <v/>
      </c>
      <c r="I26" s="16" t="str">
        <f>IF(C26="","",(IF(OR('Ingoing substances'!V26="No",'Rinse-off - DID'!N26="R"),"",C26*1000/$D$60)))</f>
        <v/>
      </c>
      <c r="J26" s="16" t="str">
        <f>IF(C26="","",(IF(OR('Ingoing substances'!V26="No",'Rinse-off - DID'!O26="Y",'Rinse-off - DID'!Q26="Y"),"",C26*1000/$D$60)))</f>
        <v/>
      </c>
    </row>
    <row r="27" spans="1:10" hidden="1">
      <c r="A27" s="5">
        <v>18</v>
      </c>
      <c r="B27" s="6" t="str">
        <f>'Rinse-off - DID'!B27</f>
        <v/>
      </c>
      <c r="C27" s="15" t="str">
        <f>IF(B27="","",'Rinse-off - DID'!G27)</f>
        <v/>
      </c>
      <c r="D27" s="6" t="str">
        <f>IF(B27="","",IF('Ingoing substances'!V27="Yes",C27,""))</f>
        <v/>
      </c>
      <c r="E27" s="16" t="str">
        <f>IF(B27="","",C27*'Rinse-off - DID'!L27*1000/'Rinse-off - DID'!M27)</f>
        <v/>
      </c>
      <c r="F27" s="16" t="str">
        <f t="shared" si="0"/>
        <v/>
      </c>
      <c r="G27" s="16" t="str">
        <f>IF(OR('Ingoing substances'!I27="N",'Rinse-off - DID'!N27="R"),"",'Results 1&amp;2'!C27)</f>
        <v/>
      </c>
      <c r="H27" s="16" t="str">
        <f>IF(OR('Ingoing substances'!I27="N",'Rinse-off - DID'!O27="Y"),"",D27)</f>
        <v/>
      </c>
      <c r="I27" s="16" t="str">
        <f>IF(C27="","",(IF(OR('Ingoing substances'!V27="No",'Rinse-off - DID'!N27="R"),"",C27*1000/$D$60)))</f>
        <v/>
      </c>
      <c r="J27" s="16" t="str">
        <f>IF(C27="","",(IF(OR('Ingoing substances'!V27="No",'Rinse-off - DID'!O27="Y",'Rinse-off - DID'!Q27="Y"),"",C27*1000/$D$60)))</f>
        <v/>
      </c>
    </row>
    <row r="28" spans="1:10" hidden="1">
      <c r="A28" s="5">
        <v>19</v>
      </c>
      <c r="B28" s="6" t="str">
        <f>'Rinse-off - DID'!B28</f>
        <v/>
      </c>
      <c r="C28" s="15" t="str">
        <f>IF(B28="","",'Rinse-off - DID'!G28)</f>
        <v/>
      </c>
      <c r="D28" s="6" t="str">
        <f>IF(B28="","",IF('Ingoing substances'!V28="Yes",C28,""))</f>
        <v/>
      </c>
      <c r="E28" s="16" t="str">
        <f>IF(B28="","",C28*'Rinse-off - DID'!L28*1000/'Rinse-off - DID'!M28)</f>
        <v/>
      </c>
      <c r="F28" s="16" t="str">
        <f t="shared" si="0"/>
        <v/>
      </c>
      <c r="G28" s="16" t="str">
        <f>IF(OR('Ingoing substances'!I28="N",'Rinse-off - DID'!N28="R"),"",'Results 1&amp;2'!C28)</f>
        <v/>
      </c>
      <c r="H28" s="16" t="str">
        <f>IF(OR('Ingoing substances'!I28="N",'Rinse-off - DID'!O28="Y"),"",D28)</f>
        <v/>
      </c>
      <c r="I28" s="16" t="str">
        <f>IF(C28="","",(IF(OR('Ingoing substances'!V28="No",'Rinse-off - DID'!N28="R"),"",C28*1000/$D$60)))</f>
        <v/>
      </c>
      <c r="J28" s="16" t="str">
        <f>IF(C28="","",(IF(OR('Ingoing substances'!V28="No",'Rinse-off - DID'!O28="Y",'Rinse-off - DID'!Q28="Y"),"",C28*1000/$D$60)))</f>
        <v/>
      </c>
    </row>
    <row r="29" spans="1:10" hidden="1">
      <c r="A29" s="5">
        <v>20</v>
      </c>
      <c r="B29" s="6" t="str">
        <f>'Rinse-off - DID'!B29</f>
        <v/>
      </c>
      <c r="C29" s="15" t="str">
        <f>IF(B29="","",'Rinse-off - DID'!G29)</f>
        <v/>
      </c>
      <c r="D29" s="6" t="str">
        <f>IF(B29="","",IF('Ingoing substances'!V29="Yes",C29,""))</f>
        <v/>
      </c>
      <c r="E29" s="16" t="str">
        <f>IF(B29="","",C29*'Rinse-off - DID'!L29*1000/'Rinse-off - DID'!M29)</f>
        <v/>
      </c>
      <c r="F29" s="16" t="str">
        <f t="shared" si="0"/>
        <v/>
      </c>
      <c r="G29" s="16" t="str">
        <f>IF(OR('Ingoing substances'!I29="N",'Rinse-off - DID'!N29="R"),"",'Results 1&amp;2'!C29)</f>
        <v/>
      </c>
      <c r="H29" s="16" t="str">
        <f>IF(OR('Ingoing substances'!I29="N",'Rinse-off - DID'!O29="Y"),"",D29)</f>
        <v/>
      </c>
      <c r="I29" s="16" t="str">
        <f>IF(C29="","",(IF(OR('Ingoing substances'!V29="No",'Rinse-off - DID'!N29="R"),"",C29*1000/$D$60)))</f>
        <v/>
      </c>
      <c r="J29" s="16" t="str">
        <f>IF(C29="","",(IF(OR('Ingoing substances'!V29="No",'Rinse-off - DID'!O29="Y",'Rinse-off - DID'!Q29="Y"),"",C29*1000/$D$60)))</f>
        <v/>
      </c>
    </row>
    <row r="30" spans="1:10" hidden="1">
      <c r="A30" s="5">
        <v>21</v>
      </c>
      <c r="B30" s="6" t="str">
        <f>'Rinse-off - DID'!B30</f>
        <v/>
      </c>
      <c r="C30" s="15" t="str">
        <f>IF(B30="","",'Rinse-off - DID'!G30)</f>
        <v/>
      </c>
      <c r="D30" s="6" t="str">
        <f>IF(B30="","",IF('Ingoing substances'!V30="Yes",C30,""))</f>
        <v/>
      </c>
      <c r="E30" s="16" t="str">
        <f>IF(B30="","",C30*'Rinse-off - DID'!L30*1000/'Rinse-off - DID'!M30)</f>
        <v/>
      </c>
      <c r="F30" s="16" t="str">
        <f t="shared" si="0"/>
        <v/>
      </c>
      <c r="G30" s="16" t="str">
        <f>IF(OR('Ingoing substances'!I30="N",'Rinse-off - DID'!N30="R"),"",'Results 1&amp;2'!C30)</f>
        <v/>
      </c>
      <c r="H30" s="16" t="str">
        <f>IF(OR('Ingoing substances'!I30="N",'Rinse-off - DID'!O30="Y"),"",D30)</f>
        <v/>
      </c>
      <c r="I30" s="16" t="str">
        <f>IF(C30="","",(IF(OR('Ingoing substances'!V30="No",'Rinse-off - DID'!N30="R"),"",C30*1000/$D$60)))</f>
        <v/>
      </c>
      <c r="J30" s="16" t="str">
        <f>IF(C30="","",(IF(OR('Ingoing substances'!V30="No",'Rinse-off - DID'!O30="Y",'Rinse-off - DID'!Q30="Y"),"",C30*1000/$D$60)))</f>
        <v/>
      </c>
    </row>
    <row r="31" spans="1:10" hidden="1">
      <c r="A31" s="5">
        <v>22</v>
      </c>
      <c r="B31" s="6" t="str">
        <f>'Rinse-off - DID'!B31</f>
        <v/>
      </c>
      <c r="C31" s="15" t="str">
        <f>IF(B31="","",'Rinse-off - DID'!G31)</f>
        <v/>
      </c>
      <c r="D31" s="6" t="str">
        <f>IF(B31="","",IF('Ingoing substances'!V31="Yes",C31,""))</f>
        <v/>
      </c>
      <c r="E31" s="16" t="str">
        <f>IF(B31="","",C31*'Rinse-off - DID'!L31*1000/'Rinse-off - DID'!M31)</f>
        <v/>
      </c>
      <c r="F31" s="16" t="str">
        <f t="shared" si="0"/>
        <v/>
      </c>
      <c r="G31" s="16" t="str">
        <f>IF(OR('Ingoing substances'!I31="N",'Rinse-off - DID'!N31="R"),"",'Results 1&amp;2'!C31)</f>
        <v/>
      </c>
      <c r="H31" s="16" t="str">
        <f>IF(OR('Ingoing substances'!I31="N",'Rinse-off - DID'!O31="Y"),"",D31)</f>
        <v/>
      </c>
      <c r="I31" s="16" t="str">
        <f>IF(C31="","",(IF(OR('Ingoing substances'!V31="No",'Rinse-off - DID'!N31="R"),"",C31*1000/$D$60)))</f>
        <v/>
      </c>
      <c r="J31" s="16" t="str">
        <f>IF(C31="","",(IF(OR('Ingoing substances'!V31="No",'Rinse-off - DID'!O31="Y",'Rinse-off - DID'!Q31="Y"),"",C31*1000/$D$60)))</f>
        <v/>
      </c>
    </row>
    <row r="32" spans="1:10" hidden="1">
      <c r="A32" s="5">
        <v>23</v>
      </c>
      <c r="B32" s="6" t="str">
        <f>'Rinse-off - DID'!B32</f>
        <v/>
      </c>
      <c r="C32" s="15" t="str">
        <f>IF(B32="","",'Rinse-off - DID'!G32)</f>
        <v/>
      </c>
      <c r="D32" s="6" t="str">
        <f>IF(B32="","",IF('Ingoing substances'!V32="Yes",C32,""))</f>
        <v/>
      </c>
      <c r="E32" s="16" t="str">
        <f>IF(B32="","",C32*'Rinse-off - DID'!L32*1000/'Rinse-off - DID'!M32)</f>
        <v/>
      </c>
      <c r="F32" s="16" t="str">
        <f t="shared" si="0"/>
        <v/>
      </c>
      <c r="G32" s="16" t="str">
        <f>IF(OR('Ingoing substances'!I32="N",'Rinse-off - DID'!N32="R"),"",'Results 1&amp;2'!C32)</f>
        <v/>
      </c>
      <c r="H32" s="16" t="str">
        <f>IF(OR('Ingoing substances'!I32="N",'Rinse-off - DID'!O32="Y"),"",D32)</f>
        <v/>
      </c>
      <c r="I32" s="16" t="str">
        <f>IF(C32="","",(IF(OR('Ingoing substances'!V32="No",'Rinse-off - DID'!N32="R"),"",C32*1000/$D$60)))</f>
        <v/>
      </c>
      <c r="J32" s="16" t="str">
        <f>IF(C32="","",(IF(OR('Ingoing substances'!V32="No",'Rinse-off - DID'!O32="Y",'Rinse-off - DID'!Q32="Y"),"",C32*1000/$D$60)))</f>
        <v/>
      </c>
    </row>
    <row r="33" spans="1:10" hidden="1">
      <c r="A33" s="5">
        <v>24</v>
      </c>
      <c r="B33" s="6" t="str">
        <f>'Rinse-off - DID'!B33</f>
        <v/>
      </c>
      <c r="C33" s="15" t="str">
        <f>IF(B33="","",'Rinse-off - DID'!G33)</f>
        <v/>
      </c>
      <c r="D33" s="6" t="str">
        <f>IF(B33="","",IF('Ingoing substances'!V33="Yes",C33,""))</f>
        <v/>
      </c>
      <c r="E33" s="16" t="str">
        <f>IF(B33="","",C33*'Rinse-off - DID'!L33*1000/'Rinse-off - DID'!M33)</f>
        <v/>
      </c>
      <c r="F33" s="16" t="str">
        <f t="shared" si="0"/>
        <v/>
      </c>
      <c r="G33" s="16" t="str">
        <f>IF(OR('Ingoing substances'!I33="N",'Rinse-off - DID'!N33="R"),"",'Results 1&amp;2'!C33)</f>
        <v/>
      </c>
      <c r="H33" s="16" t="str">
        <f>IF(OR('Ingoing substances'!I33="N",'Rinse-off - DID'!O33="Y"),"",D33)</f>
        <v/>
      </c>
      <c r="I33" s="16" t="str">
        <f>IF(C33="","",(IF(OR('Ingoing substances'!V33="No",'Rinse-off - DID'!N33="R"),"",C33*1000/$D$60)))</f>
        <v/>
      </c>
      <c r="J33" s="16" t="str">
        <f>IF(C33="","",(IF(OR('Ingoing substances'!V33="No",'Rinse-off - DID'!O33="Y",'Rinse-off - DID'!Q33="Y"),"",C33*1000/$D$60)))</f>
        <v/>
      </c>
    </row>
    <row r="34" spans="1:10" hidden="1">
      <c r="A34" s="5">
        <v>25</v>
      </c>
      <c r="B34" s="6" t="str">
        <f>'Rinse-off - DID'!B34</f>
        <v/>
      </c>
      <c r="C34" s="15" t="str">
        <f>IF(B34="","",'Rinse-off - DID'!G34)</f>
        <v/>
      </c>
      <c r="D34" s="6" t="str">
        <f>IF(B34="","",IF('Ingoing substances'!V34="Yes",C34,""))</f>
        <v/>
      </c>
      <c r="E34" s="16" t="str">
        <f>IF(B34="","",C34*'Rinse-off - DID'!L34*1000/'Rinse-off - DID'!M34)</f>
        <v/>
      </c>
      <c r="F34" s="16" t="str">
        <f t="shared" si="0"/>
        <v/>
      </c>
      <c r="G34" s="16" t="str">
        <f>IF(OR('Ingoing substances'!I34="N",'Rinse-off - DID'!N34="R"),"",'Results 1&amp;2'!C34)</f>
        <v/>
      </c>
      <c r="H34" s="16" t="str">
        <f>IF(OR('Ingoing substances'!I34="N",'Rinse-off - DID'!O34="Y"),"",D34)</f>
        <v/>
      </c>
      <c r="I34" s="16" t="str">
        <f>IF(C34="","",(IF(OR('Ingoing substances'!V34="No",'Rinse-off - DID'!N34="R"),"",C34*1000/$D$60)))</f>
        <v/>
      </c>
      <c r="J34" s="16" t="str">
        <f>IF(C34="","",(IF(OR('Ingoing substances'!V34="No",'Rinse-off - DID'!O34="Y",'Rinse-off - DID'!Q34="Y"),"",C34*1000/$D$60)))</f>
        <v/>
      </c>
    </row>
    <row r="35" spans="1:10" hidden="1">
      <c r="A35" s="5">
        <v>26</v>
      </c>
      <c r="B35" s="6" t="str">
        <f>'Rinse-off - DID'!B35</f>
        <v/>
      </c>
      <c r="C35" s="15" t="str">
        <f>IF(B35="","",'Rinse-off - DID'!G35)</f>
        <v/>
      </c>
      <c r="D35" s="6" t="str">
        <f>IF(B35="","",IF('Ingoing substances'!V35="Yes",C35,""))</f>
        <v/>
      </c>
      <c r="E35" s="16" t="str">
        <f>IF(B35="","",C35*'Rinse-off - DID'!L35*1000/'Rinse-off - DID'!M35)</f>
        <v/>
      </c>
      <c r="F35" s="16" t="str">
        <f t="shared" si="0"/>
        <v/>
      </c>
      <c r="G35" s="16" t="str">
        <f>IF(OR('Ingoing substances'!I35="N",'Rinse-off - DID'!N35="R"),"",'Results 1&amp;2'!C35)</f>
        <v/>
      </c>
      <c r="H35" s="16" t="str">
        <f>IF(OR('Ingoing substances'!I35="N",'Rinse-off - DID'!O35="Y"),"",D35)</f>
        <v/>
      </c>
      <c r="I35" s="16" t="str">
        <f>IF(C35="","",(IF(OR('Ingoing substances'!V35="No",'Rinse-off - DID'!N35="R"),"",C35*1000/$D$60)))</f>
        <v/>
      </c>
      <c r="J35" s="16" t="str">
        <f>IF(C35="","",(IF(OR('Ingoing substances'!V35="No",'Rinse-off - DID'!O35="Y",'Rinse-off - DID'!Q35="Y"),"",C35*1000/$D$60)))</f>
        <v/>
      </c>
    </row>
    <row r="36" spans="1:10" hidden="1">
      <c r="A36" s="5">
        <v>27</v>
      </c>
      <c r="B36" s="6" t="str">
        <f>'Rinse-off - DID'!B36</f>
        <v/>
      </c>
      <c r="C36" s="15" t="str">
        <f>IF(B36="","",'Rinse-off - DID'!G36)</f>
        <v/>
      </c>
      <c r="D36" s="6" t="str">
        <f>IF(B36="","",IF('Ingoing substances'!V36="Yes",C36,""))</f>
        <v/>
      </c>
      <c r="E36" s="16" t="str">
        <f>IF(B36="","",C36*'Rinse-off - DID'!L36*1000/'Rinse-off - DID'!M36)</f>
        <v/>
      </c>
      <c r="F36" s="16" t="str">
        <f t="shared" si="0"/>
        <v/>
      </c>
      <c r="G36" s="16" t="str">
        <f>IF(OR('Ingoing substances'!I36="N",'Rinse-off - DID'!N36="R"),"",'Results 1&amp;2'!C36)</f>
        <v/>
      </c>
      <c r="H36" s="16" t="str">
        <f>IF(OR('Ingoing substances'!I36="N",'Rinse-off - DID'!O36="Y"),"",D36)</f>
        <v/>
      </c>
      <c r="I36" s="16" t="str">
        <f>IF(C36="","",(IF(OR('Ingoing substances'!V36="No",'Rinse-off - DID'!N36="R"),"",C36*1000/$D$60)))</f>
        <v/>
      </c>
      <c r="J36" s="16" t="str">
        <f>IF(C36="","",(IF(OR('Ingoing substances'!V36="No",'Rinse-off - DID'!O36="Y",'Rinse-off - DID'!Q36="Y"),"",C36*1000/$D$60)))</f>
        <v/>
      </c>
    </row>
    <row r="37" spans="1:10" hidden="1">
      <c r="A37" s="5">
        <v>28</v>
      </c>
      <c r="B37" s="6" t="str">
        <f>'Rinse-off - DID'!B37</f>
        <v/>
      </c>
      <c r="C37" s="15" t="str">
        <f>IF(B37="","",'Rinse-off - DID'!G37)</f>
        <v/>
      </c>
      <c r="D37" s="6" t="str">
        <f>IF(B37="","",IF('Ingoing substances'!V37="Yes",C37,""))</f>
        <v/>
      </c>
      <c r="E37" s="16" t="str">
        <f>IF(B37="","",C37*'Rinse-off - DID'!L37*1000/'Rinse-off - DID'!M37)</f>
        <v/>
      </c>
      <c r="F37" s="16" t="str">
        <f t="shared" si="0"/>
        <v/>
      </c>
      <c r="G37" s="16" t="str">
        <f>IF(OR('Ingoing substances'!I37="N",'Rinse-off - DID'!N37="R"),"",'Results 1&amp;2'!C37)</f>
        <v/>
      </c>
      <c r="H37" s="16" t="str">
        <f>IF(OR('Ingoing substances'!I37="N",'Rinse-off - DID'!O37="Y"),"",D37)</f>
        <v/>
      </c>
      <c r="I37" s="16" t="str">
        <f>IF(C37="","",(IF(OR('Ingoing substances'!V37="No",'Rinse-off - DID'!N37="R"),"",C37*1000/$D$60)))</f>
        <v/>
      </c>
      <c r="J37" s="16" t="str">
        <f>IF(C37="","",(IF(OR('Ingoing substances'!V37="No",'Rinse-off - DID'!O37="Y",'Rinse-off - DID'!Q37="Y"),"",C37*1000/$D$60)))</f>
        <v/>
      </c>
    </row>
    <row r="38" spans="1:10" hidden="1">
      <c r="A38" s="5">
        <v>29</v>
      </c>
      <c r="B38" s="6" t="str">
        <f>'Rinse-off - DID'!B38</f>
        <v/>
      </c>
      <c r="C38" s="15" t="str">
        <f>IF(B38="","",'Rinse-off - DID'!G38)</f>
        <v/>
      </c>
      <c r="D38" s="6" t="str">
        <f>IF(B38="","",IF('Ingoing substances'!V38="Yes",C38,""))</f>
        <v/>
      </c>
      <c r="E38" s="16" t="str">
        <f>IF(B38="","",C38*'Rinse-off - DID'!L38*1000/'Rinse-off - DID'!M38)</f>
        <v/>
      </c>
      <c r="F38" s="16" t="str">
        <f t="shared" si="0"/>
        <v/>
      </c>
      <c r="G38" s="16" t="str">
        <f>IF(OR('Ingoing substances'!I38="N",'Rinse-off - DID'!N38="R"),"",'Results 1&amp;2'!C38)</f>
        <v/>
      </c>
      <c r="H38" s="16" t="str">
        <f>IF(OR('Ingoing substances'!I38="N",'Rinse-off - DID'!O38="Y"),"",D38)</f>
        <v/>
      </c>
      <c r="I38" s="16" t="str">
        <f>IF(C38="","",(IF(OR('Ingoing substances'!V38="No",'Rinse-off - DID'!N38="R"),"",C38*1000/$D$60)))</f>
        <v/>
      </c>
      <c r="J38" s="16" t="str">
        <f>IF(C38="","",(IF(OR('Ingoing substances'!V38="No",'Rinse-off - DID'!O38="Y",'Rinse-off - DID'!Q38="Y"),"",C38*1000/$D$60)))</f>
        <v/>
      </c>
    </row>
    <row r="39" spans="1:10" hidden="1">
      <c r="A39" s="5">
        <v>30</v>
      </c>
      <c r="B39" s="6" t="str">
        <f>'Rinse-off - DID'!B39</f>
        <v/>
      </c>
      <c r="C39" s="15" t="str">
        <f>IF(B39="","",'Rinse-off - DID'!G39)</f>
        <v/>
      </c>
      <c r="D39" s="6" t="str">
        <f>IF(B39="","",IF('Ingoing substances'!V39="Yes",C39,""))</f>
        <v/>
      </c>
      <c r="E39" s="16" t="str">
        <f>IF(B39="","",C39*'Rinse-off - DID'!L39*1000/'Rinse-off - DID'!M39)</f>
        <v/>
      </c>
      <c r="F39" s="16" t="str">
        <f t="shared" si="0"/>
        <v/>
      </c>
      <c r="G39" s="16" t="str">
        <f>IF(OR('Ingoing substances'!I39="N",'Rinse-off - DID'!N39="R"),"",'Results 1&amp;2'!C39)</f>
        <v/>
      </c>
      <c r="H39" s="16" t="str">
        <f>IF(OR('Ingoing substances'!I39="N",'Rinse-off - DID'!O39="Y"),"",D39)</f>
        <v/>
      </c>
      <c r="I39" s="16" t="str">
        <f>IF(C39="","",(IF(OR('Ingoing substances'!V39="No",'Rinse-off - DID'!N39="R"),"",C39*1000/$D$60)))</f>
        <v/>
      </c>
      <c r="J39" s="16" t="str">
        <f>IF(C39="","",(IF(OR('Ingoing substances'!V39="No",'Rinse-off - DID'!O39="Y",'Rinse-off - DID'!Q39="Y"),"",C39*1000/$D$60)))</f>
        <v/>
      </c>
    </row>
    <row r="40" spans="1:10" hidden="1">
      <c r="A40" s="5">
        <v>31</v>
      </c>
      <c r="B40" s="6" t="str">
        <f>'Rinse-off - DID'!B40</f>
        <v/>
      </c>
      <c r="C40" s="15" t="str">
        <f>IF(B40="","",'Rinse-off - DID'!G40)</f>
        <v/>
      </c>
      <c r="D40" s="6" t="str">
        <f>IF(B40="","",IF('Ingoing substances'!V40="Yes",C40,""))</f>
        <v/>
      </c>
      <c r="E40" s="16" t="str">
        <f>IF(B40="","",C40*'Rinse-off - DID'!L40*1000/'Rinse-off - DID'!M40)</f>
        <v/>
      </c>
      <c r="F40" s="16" t="str">
        <f t="shared" si="0"/>
        <v/>
      </c>
      <c r="G40" s="16" t="str">
        <f>IF(OR('Ingoing substances'!I40="N",'Rinse-off - DID'!N40="R"),"",'Results 1&amp;2'!C40)</f>
        <v/>
      </c>
      <c r="H40" s="16" t="str">
        <f>IF(OR('Ingoing substances'!I40="N",'Rinse-off - DID'!O40="Y"),"",D40)</f>
        <v/>
      </c>
      <c r="I40" s="16" t="str">
        <f>IF(C40="","",(IF(OR('Ingoing substances'!V40="No",'Rinse-off - DID'!N40="R"),"",C40*1000/$D$60)))</f>
        <v/>
      </c>
      <c r="J40" s="16" t="str">
        <f>IF(C40="","",(IF(OR('Ingoing substances'!V40="No",'Rinse-off - DID'!O40="Y",'Rinse-off - DID'!Q40="Y"),"",C40*1000/$D$60)))</f>
        <v/>
      </c>
    </row>
    <row r="41" spans="1:10" hidden="1">
      <c r="A41" s="5">
        <v>32</v>
      </c>
      <c r="B41" s="6" t="str">
        <f>'Rinse-off - DID'!B41</f>
        <v/>
      </c>
      <c r="C41" s="15" t="str">
        <f>IF(B41="","",'Rinse-off - DID'!G41)</f>
        <v/>
      </c>
      <c r="D41" s="6" t="str">
        <f>IF(B41="","",IF('Ingoing substances'!V41="Yes",C41,""))</f>
        <v/>
      </c>
      <c r="E41" s="16" t="str">
        <f>IF(B41="","",C41*'Rinse-off - DID'!L41*1000/'Rinse-off - DID'!M41)</f>
        <v/>
      </c>
      <c r="F41" s="16" t="str">
        <f t="shared" si="0"/>
        <v/>
      </c>
      <c r="G41" s="16" t="str">
        <f>IF(OR('Ingoing substances'!I41="N",'Rinse-off - DID'!N41="R"),"",'Results 1&amp;2'!C41)</f>
        <v/>
      </c>
      <c r="H41" s="16" t="str">
        <f>IF(OR('Ingoing substances'!I41="N",'Rinse-off - DID'!O41="Y"),"",D41)</f>
        <v/>
      </c>
      <c r="I41" s="16" t="str">
        <f>IF(C41="","",(IF(OR('Ingoing substances'!V41="No",'Rinse-off - DID'!N41="R"),"",C41*1000/$D$60)))</f>
        <v/>
      </c>
      <c r="J41" s="16" t="str">
        <f>IF(C41="","",(IF(OR('Ingoing substances'!V41="No",'Rinse-off - DID'!O41="Y",'Rinse-off - DID'!Q41="Y"),"",C41*1000/$D$60)))</f>
        <v/>
      </c>
    </row>
    <row r="42" spans="1:10" hidden="1">
      <c r="A42" s="5">
        <v>33</v>
      </c>
      <c r="B42" s="6" t="str">
        <f>'Rinse-off - DID'!B42</f>
        <v/>
      </c>
      <c r="C42" s="15" t="str">
        <f>IF(B42="","",'Rinse-off - DID'!G42)</f>
        <v/>
      </c>
      <c r="D42" s="6" t="str">
        <f>IF(B42="","",IF('Ingoing substances'!V42="Yes",C42,""))</f>
        <v/>
      </c>
      <c r="E42" s="16" t="str">
        <f>IF(B42="","",C42*'Rinse-off - DID'!L42*1000/'Rinse-off - DID'!M42)</f>
        <v/>
      </c>
      <c r="F42" s="16" t="str">
        <f t="shared" si="0"/>
        <v/>
      </c>
      <c r="G42" s="16" t="str">
        <f>IF(OR('Ingoing substances'!I42="N",'Rinse-off - DID'!N42="R"),"",'Results 1&amp;2'!C42)</f>
        <v/>
      </c>
      <c r="H42" s="16" t="str">
        <f>IF(OR('Ingoing substances'!I42="N",'Rinse-off - DID'!O42="Y"),"",D42)</f>
        <v/>
      </c>
      <c r="I42" s="16" t="str">
        <f>IF(C42="","",(IF(OR('Ingoing substances'!V42="No",'Rinse-off - DID'!N42="R"),"",C42*1000/$D$60)))</f>
        <v/>
      </c>
      <c r="J42" s="16" t="str">
        <f>IF(C42="","",(IF(OR('Ingoing substances'!V42="No",'Rinse-off - DID'!O42="Y",'Rinse-off - DID'!Q42="Y"),"",C42*1000/$D$60)))</f>
        <v/>
      </c>
    </row>
    <row r="43" spans="1:10" hidden="1">
      <c r="A43" s="5">
        <v>34</v>
      </c>
      <c r="B43" s="6" t="str">
        <f>'Rinse-off - DID'!B43</f>
        <v/>
      </c>
      <c r="C43" s="15" t="str">
        <f>IF(B43="","",'Rinse-off - DID'!G43)</f>
        <v/>
      </c>
      <c r="D43" s="6" t="str">
        <f>IF(B43="","",IF('Ingoing substances'!V43="Yes",C43,""))</f>
        <v/>
      </c>
      <c r="E43" s="16" t="str">
        <f>IF(B43="","",C43*'Rinse-off - DID'!L43*1000/'Rinse-off - DID'!M43)</f>
        <v/>
      </c>
      <c r="F43" s="16" t="str">
        <f t="shared" si="0"/>
        <v/>
      </c>
      <c r="G43" s="16" t="str">
        <f>IF(OR('Ingoing substances'!I43="N",'Rinse-off - DID'!N43="R"),"",'Results 1&amp;2'!C43)</f>
        <v/>
      </c>
      <c r="H43" s="16" t="str">
        <f>IF(OR('Ingoing substances'!I43="N",'Rinse-off - DID'!O43="Y"),"",D43)</f>
        <v/>
      </c>
      <c r="I43" s="16" t="str">
        <f>IF(C43="","",(IF(OR('Ingoing substances'!V43="No",'Rinse-off - DID'!N43="R"),"",C43*1000/$D$60)))</f>
        <v/>
      </c>
      <c r="J43" s="16" t="str">
        <f>IF(C43="","",(IF(OR('Ingoing substances'!V43="No",'Rinse-off - DID'!O43="Y",'Rinse-off - DID'!Q43="Y"),"",C43*1000/$D$60)))</f>
        <v/>
      </c>
    </row>
    <row r="44" spans="1:10" hidden="1">
      <c r="A44" s="5">
        <v>35</v>
      </c>
      <c r="B44" s="6" t="str">
        <f>'Rinse-off - DID'!B44</f>
        <v/>
      </c>
      <c r="C44" s="15" t="str">
        <f>IF(B44="","",'Rinse-off - DID'!G44)</f>
        <v/>
      </c>
      <c r="D44" s="6" t="str">
        <f>IF(B44="","",IF('Ingoing substances'!V44="Yes",C44,""))</f>
        <v/>
      </c>
      <c r="E44" s="16" t="str">
        <f>IF(B44="","",C44*'Rinse-off - DID'!L44*1000/'Rinse-off - DID'!M44)</f>
        <v/>
      </c>
      <c r="F44" s="16" t="str">
        <f t="shared" si="0"/>
        <v/>
      </c>
      <c r="G44" s="16" t="str">
        <f>IF(OR('Ingoing substances'!I44="N",'Rinse-off - DID'!N44="R"),"",'Results 1&amp;2'!C44)</f>
        <v/>
      </c>
      <c r="H44" s="16" t="str">
        <f>IF(OR('Ingoing substances'!I44="N",'Rinse-off - DID'!O44="Y"),"",D44)</f>
        <v/>
      </c>
      <c r="I44" s="16" t="str">
        <f>IF(C44="","",(IF(OR('Ingoing substances'!V44="No",'Rinse-off - DID'!N44="R"),"",C44*1000/$D$60)))</f>
        <v/>
      </c>
      <c r="J44" s="16" t="str">
        <f>IF(C44="","",(IF(OR('Ingoing substances'!V44="No",'Rinse-off - DID'!O44="Y",'Rinse-off - DID'!Q44="Y"),"",C44*1000/$D$60)))</f>
        <v/>
      </c>
    </row>
    <row r="45" spans="1:10" hidden="1">
      <c r="A45" s="5">
        <v>36</v>
      </c>
      <c r="B45" s="6" t="str">
        <f>'Rinse-off - DID'!B45</f>
        <v/>
      </c>
      <c r="C45" s="15" t="str">
        <f>IF(B45="","",'Rinse-off - DID'!G45)</f>
        <v/>
      </c>
      <c r="D45" s="6" t="str">
        <f>IF(B45="","",IF('Ingoing substances'!V45="Yes",C45,""))</f>
        <v/>
      </c>
      <c r="E45" s="16" t="str">
        <f>IF(B45="","",C45*'Rinse-off - DID'!L45*1000/'Rinse-off - DID'!M45)</f>
        <v/>
      </c>
      <c r="F45" s="16" t="str">
        <f t="shared" si="0"/>
        <v/>
      </c>
      <c r="G45" s="16" t="str">
        <f>IF(OR('Ingoing substances'!I45="N",'Rinse-off - DID'!N45="R"),"",'Results 1&amp;2'!C45)</f>
        <v/>
      </c>
      <c r="H45" s="16" t="str">
        <f>IF(OR('Ingoing substances'!I45="N",'Rinse-off - DID'!O45="Y"),"",D45)</f>
        <v/>
      </c>
      <c r="I45" s="16" t="str">
        <f>IF(C45="","",(IF(OR('Ingoing substances'!V45="No",'Rinse-off - DID'!N45="R"),"",C45*1000/$D$60)))</f>
        <v/>
      </c>
      <c r="J45" s="16" t="str">
        <f>IF(C45="","",(IF(OR('Ingoing substances'!V45="No",'Rinse-off - DID'!O45="Y",'Rinse-off - DID'!Q45="Y"),"",C45*1000/$D$60)))</f>
        <v/>
      </c>
    </row>
    <row r="46" spans="1:10" hidden="1">
      <c r="A46" s="5">
        <v>37</v>
      </c>
      <c r="B46" s="6" t="str">
        <f>'Rinse-off - DID'!B46</f>
        <v/>
      </c>
      <c r="C46" s="15" t="str">
        <f>IF(B46="","",'Rinse-off - DID'!G46)</f>
        <v/>
      </c>
      <c r="D46" s="6" t="str">
        <f>IF(B46="","",IF('Ingoing substances'!V46="Yes",C46,""))</f>
        <v/>
      </c>
      <c r="E46" s="16" t="str">
        <f>IF(B46="","",C46*'Rinse-off - DID'!L46*1000/'Rinse-off - DID'!M46)</f>
        <v/>
      </c>
      <c r="F46" s="16" t="str">
        <f t="shared" si="0"/>
        <v/>
      </c>
      <c r="G46" s="16" t="str">
        <f>IF(OR('Ingoing substances'!I46="N",'Rinse-off - DID'!N46="R"),"",'Results 1&amp;2'!C46)</f>
        <v/>
      </c>
      <c r="H46" s="16" t="str">
        <f>IF(OR('Ingoing substances'!I46="N",'Rinse-off - DID'!O46="Y"),"",D46)</f>
        <v/>
      </c>
      <c r="I46" s="16" t="str">
        <f>IF(C46="","",(IF(OR('Ingoing substances'!V46="No",'Rinse-off - DID'!N46="R"),"",C46*1000/$D$60)))</f>
        <v/>
      </c>
      <c r="J46" s="16" t="str">
        <f>IF(C46="","",(IF(OR('Ingoing substances'!V46="No",'Rinse-off - DID'!O46="Y",'Rinse-off - DID'!Q46="Y"),"",C46*1000/$D$60)))</f>
        <v/>
      </c>
    </row>
    <row r="47" spans="1:10" hidden="1">
      <c r="A47" s="5">
        <v>38</v>
      </c>
      <c r="B47" s="6" t="str">
        <f>'Rinse-off - DID'!B47</f>
        <v/>
      </c>
      <c r="C47" s="15" t="str">
        <f>IF(B47="","",'Rinse-off - DID'!G47)</f>
        <v/>
      </c>
      <c r="D47" s="6" t="str">
        <f>IF(B47="","",IF('Ingoing substances'!V47="Yes",C47,""))</f>
        <v/>
      </c>
      <c r="E47" s="16" t="str">
        <f>IF(B47="","",C47*'Rinse-off - DID'!L47*1000/'Rinse-off - DID'!M47)</f>
        <v/>
      </c>
      <c r="F47" s="16" t="str">
        <f t="shared" si="0"/>
        <v/>
      </c>
      <c r="G47" s="16" t="str">
        <f>IF(OR('Ingoing substances'!I47="N",'Rinse-off - DID'!N47="R"),"",'Results 1&amp;2'!C47)</f>
        <v/>
      </c>
      <c r="H47" s="16" t="str">
        <f>IF(OR('Ingoing substances'!I47="N",'Rinse-off - DID'!O47="Y"),"",D47)</f>
        <v/>
      </c>
      <c r="I47" s="16" t="str">
        <f>IF(C47="","",(IF(OR('Ingoing substances'!V47="No",'Rinse-off - DID'!N47="R"),"",C47*1000/$D$60)))</f>
        <v/>
      </c>
      <c r="J47" s="16" t="str">
        <f>IF(C47="","",(IF(OR('Ingoing substances'!V47="No",'Rinse-off - DID'!O47="Y",'Rinse-off - DID'!Q47="Y"),"",C47*1000/$D$60)))</f>
        <v/>
      </c>
    </row>
    <row r="48" spans="1:10" hidden="1">
      <c r="A48" s="5">
        <v>39</v>
      </c>
      <c r="B48" s="6" t="str">
        <f>'Rinse-off - DID'!B48</f>
        <v/>
      </c>
      <c r="C48" s="15" t="str">
        <f>IF(B48="","",'Rinse-off - DID'!G48)</f>
        <v/>
      </c>
      <c r="D48" s="6" t="str">
        <f>IF(B48="","",IF('Ingoing substances'!V48="Yes",C48,""))</f>
        <v/>
      </c>
      <c r="E48" s="16" t="str">
        <f>IF(B48="","",C48*'Rinse-off - DID'!L48*1000/'Rinse-off - DID'!M48)</f>
        <v/>
      </c>
      <c r="F48" s="16" t="str">
        <f t="shared" si="0"/>
        <v/>
      </c>
      <c r="G48" s="16" t="str">
        <f>IF(OR('Ingoing substances'!I48="N",'Rinse-off - DID'!N48="R"),"",'Results 1&amp;2'!C48)</f>
        <v/>
      </c>
      <c r="H48" s="16" t="str">
        <f>IF(OR('Ingoing substances'!I48="N",'Rinse-off - DID'!O48="Y"),"",D48)</f>
        <v/>
      </c>
      <c r="I48" s="16" t="str">
        <f>IF(C48="","",(IF(OR('Ingoing substances'!V48="No",'Rinse-off - DID'!N48="R"),"",C48*1000/$D$60)))</f>
        <v/>
      </c>
      <c r="J48" s="16" t="str">
        <f>IF(C48="","",(IF(OR('Ingoing substances'!V48="No",'Rinse-off - DID'!O48="Y",'Rinse-off - DID'!Q48="Y"),"",C48*1000/$D$60)))</f>
        <v/>
      </c>
    </row>
    <row r="49" spans="1:10" hidden="1">
      <c r="A49" s="5">
        <v>40</v>
      </c>
      <c r="B49" s="6" t="str">
        <f>'Rinse-off - DID'!B49</f>
        <v/>
      </c>
      <c r="C49" s="15" t="str">
        <f>IF(B49="","",'Rinse-off - DID'!G49)</f>
        <v/>
      </c>
      <c r="D49" s="6" t="str">
        <f>IF(B49="","",IF('Ingoing substances'!V49="Yes",C49,""))</f>
        <v/>
      </c>
      <c r="E49" s="16" t="str">
        <f>IF(B49="","",C49*'Rinse-off - DID'!L49*1000/'Rinse-off - DID'!M49)</f>
        <v/>
      </c>
      <c r="F49" s="16" t="str">
        <f t="shared" si="0"/>
        <v/>
      </c>
      <c r="G49" s="16" t="str">
        <f>IF(OR('Ingoing substances'!I49="N",'Rinse-off - DID'!N49="R"),"",'Results 1&amp;2'!C49)</f>
        <v/>
      </c>
      <c r="H49" s="16" t="str">
        <f>IF(OR('Ingoing substances'!I49="N",'Rinse-off - DID'!O49="Y"),"",D49)</f>
        <v/>
      </c>
      <c r="I49" s="16" t="str">
        <f>IF(C49="","",(IF(OR('Ingoing substances'!V49="No",'Rinse-off - DID'!N49="R"),"",C49*1000/$D$60)))</f>
        <v/>
      </c>
      <c r="J49" s="16" t="str">
        <f>IF(C49="","",(IF(OR('Ingoing substances'!V49="No",'Rinse-off - DID'!O49="Y",'Rinse-off - DID'!Q49="Y"),"",C49*1000/$D$60)))</f>
        <v/>
      </c>
    </row>
    <row r="50" spans="1:10" hidden="1">
      <c r="A50" s="5">
        <v>41</v>
      </c>
      <c r="B50" s="6" t="str">
        <f>'Rinse-off - DID'!B50</f>
        <v/>
      </c>
      <c r="C50" s="15" t="str">
        <f>IF(B50="","",'Rinse-off - DID'!G50)</f>
        <v/>
      </c>
      <c r="D50" s="6" t="str">
        <f>IF(B50="","",IF('Ingoing substances'!V50="Yes",C50,""))</f>
        <v/>
      </c>
      <c r="E50" s="16" t="str">
        <f>IF(B50="","",C50*'Rinse-off - DID'!L50*1000/'Rinse-off - DID'!M50)</f>
        <v/>
      </c>
      <c r="F50" s="16" t="str">
        <f t="shared" si="0"/>
        <v/>
      </c>
      <c r="G50" s="16" t="str">
        <f>IF(OR('Ingoing substances'!I50="N",'Rinse-off - DID'!N50="R"),"",'Results 1&amp;2'!C50)</f>
        <v/>
      </c>
      <c r="H50" s="16" t="str">
        <f>IF(OR('Ingoing substances'!I50="N",'Rinse-off - DID'!O50="Y"),"",D50)</f>
        <v/>
      </c>
      <c r="I50" s="16" t="str">
        <f>IF(C50="","",(IF(OR('Ingoing substances'!V50="No",'Rinse-off - DID'!N50="R"),"",C50*1000/$D$60)))</f>
        <v/>
      </c>
      <c r="J50" s="16" t="str">
        <f>IF(C50="","",(IF(OR('Ingoing substances'!V50="No",'Rinse-off - DID'!O50="Y",'Rinse-off - DID'!Q50="Y"),"",C50*1000/$D$60)))</f>
        <v/>
      </c>
    </row>
    <row r="51" spans="1:10" hidden="1">
      <c r="A51" s="5">
        <v>42</v>
      </c>
      <c r="B51" s="6" t="str">
        <f>'Rinse-off - DID'!B51</f>
        <v/>
      </c>
      <c r="C51" s="15" t="str">
        <f>IF(B51="","",'Rinse-off - DID'!G51)</f>
        <v/>
      </c>
      <c r="D51" s="6" t="str">
        <f>IF(B51="","",IF('Ingoing substances'!V51="Yes",C51,""))</f>
        <v/>
      </c>
      <c r="E51" s="16" t="str">
        <f>IF(B51="","",C51*'Rinse-off - DID'!L51*1000/'Rinse-off - DID'!M51)</f>
        <v/>
      </c>
      <c r="F51" s="16" t="str">
        <f t="shared" si="0"/>
        <v/>
      </c>
      <c r="G51" s="16" t="str">
        <f>IF(OR('Ingoing substances'!I51="N",'Rinse-off - DID'!N51="R"),"",'Results 1&amp;2'!C51)</f>
        <v/>
      </c>
      <c r="H51" s="16" t="str">
        <f>IF(OR('Ingoing substances'!I51="N",'Rinse-off - DID'!O51="Y"),"",D51)</f>
        <v/>
      </c>
      <c r="I51" s="16" t="str">
        <f>IF(C51="","",(IF(OR('Ingoing substances'!V51="No",'Rinse-off - DID'!N51="R"),"",C51*1000/$D$60)))</f>
        <v/>
      </c>
      <c r="J51" s="16" t="str">
        <f>IF(C51="","",(IF(OR('Ingoing substances'!V51="No",'Rinse-off - DID'!O51="Y",'Rinse-off - DID'!Q51="Y"),"",C51*1000/$D$60)))</f>
        <v/>
      </c>
    </row>
    <row r="52" spans="1:10" hidden="1">
      <c r="A52" s="5">
        <v>43</v>
      </c>
      <c r="B52" s="6" t="str">
        <f>'Rinse-off - DID'!B52</f>
        <v/>
      </c>
      <c r="C52" s="15" t="str">
        <f>IF(B52="","",'Rinse-off - DID'!G52)</f>
        <v/>
      </c>
      <c r="D52" s="6" t="str">
        <f>IF(B52="","",IF('Ingoing substances'!V52="Yes",C52,""))</f>
        <v/>
      </c>
      <c r="E52" s="16" t="str">
        <f>IF(B52="","",C52*'Rinse-off - DID'!L52*1000/'Rinse-off - DID'!M52)</f>
        <v/>
      </c>
      <c r="F52" s="16" t="str">
        <f t="shared" si="0"/>
        <v/>
      </c>
      <c r="G52" s="16" t="str">
        <f>IF(OR('Ingoing substances'!I52="N",'Rinse-off - DID'!N52="R"),"",'Results 1&amp;2'!C52)</f>
        <v/>
      </c>
      <c r="H52" s="16" t="str">
        <f>IF(OR('Ingoing substances'!I52="N",'Rinse-off - DID'!O52="Y"),"",D52)</f>
        <v/>
      </c>
      <c r="I52" s="16" t="str">
        <f>IF(C52="","",(IF(OR('Ingoing substances'!V52="No",'Rinse-off - DID'!N52="R"),"",C52*1000/$D$60)))</f>
        <v/>
      </c>
      <c r="J52" s="16" t="str">
        <f>IF(C52="","",(IF(OR('Ingoing substances'!V52="No",'Rinse-off - DID'!O52="Y",'Rinse-off - DID'!Q52="Y"),"",C52*1000/$D$60)))</f>
        <v/>
      </c>
    </row>
    <row r="53" spans="1:10" hidden="1">
      <c r="A53" s="5">
        <v>44</v>
      </c>
      <c r="B53" s="6" t="str">
        <f>'Rinse-off - DID'!B53</f>
        <v/>
      </c>
      <c r="C53" s="15" t="str">
        <f>IF(B53="","",'Rinse-off - DID'!G53)</f>
        <v/>
      </c>
      <c r="D53" s="6" t="str">
        <f>IF(B53="","",IF('Ingoing substances'!V53="Yes",C53,""))</f>
        <v/>
      </c>
      <c r="E53" s="16" t="str">
        <f>IF(B53="","",C53*'Rinse-off - DID'!L53*1000/'Rinse-off - DID'!M53)</f>
        <v/>
      </c>
      <c r="F53" s="16" t="str">
        <f t="shared" si="0"/>
        <v/>
      </c>
      <c r="G53" s="16" t="str">
        <f>IF(OR('Ingoing substances'!I53="N",'Rinse-off - DID'!N53="R"),"",'Results 1&amp;2'!C53)</f>
        <v/>
      </c>
      <c r="H53" s="16" t="str">
        <f>IF(OR('Ingoing substances'!I53="N",'Rinse-off - DID'!O53="Y"),"",D53)</f>
        <v/>
      </c>
      <c r="I53" s="16" t="str">
        <f>IF(C53="","",(IF(OR('Ingoing substances'!V53="No",'Rinse-off - DID'!N53="R"),"",C53*1000/$D$60)))</f>
        <v/>
      </c>
      <c r="J53" s="16" t="str">
        <f>IF(C53="","",(IF(OR('Ingoing substances'!V53="No",'Rinse-off - DID'!O53="Y",'Rinse-off - DID'!Q53="Y"),"",C53*1000/$D$60)))</f>
        <v/>
      </c>
    </row>
    <row r="54" spans="1:10" hidden="1">
      <c r="A54" s="5">
        <v>45</v>
      </c>
      <c r="B54" s="6" t="str">
        <f>'Rinse-off - DID'!B54</f>
        <v/>
      </c>
      <c r="C54" s="15" t="str">
        <f>IF(B54="","",'Rinse-off - DID'!G54)</f>
        <v/>
      </c>
      <c r="D54" s="6" t="str">
        <f>IF(B54="","",IF('Ingoing substances'!V54="Yes",C54,""))</f>
        <v/>
      </c>
      <c r="E54" s="16" t="str">
        <f>IF(B54="","",C54*'Rinse-off - DID'!L54*1000/'Rinse-off - DID'!M54)</f>
        <v/>
      </c>
      <c r="F54" s="16" t="str">
        <f t="shared" si="0"/>
        <v/>
      </c>
      <c r="G54" s="16" t="str">
        <f>IF(OR('Ingoing substances'!I54="N",'Rinse-off - DID'!N54="R"),"",'Results 1&amp;2'!C54)</f>
        <v/>
      </c>
      <c r="H54" s="16" t="str">
        <f>IF(OR('Ingoing substances'!I54="N",'Rinse-off - DID'!O54="Y"),"",D54)</f>
        <v/>
      </c>
      <c r="I54" s="16" t="str">
        <f>IF(C54="","",(IF(OR('Ingoing substances'!V54="No",'Rinse-off - DID'!N54="R"),"",C54*1000/$D$60)))</f>
        <v/>
      </c>
      <c r="J54" s="16" t="str">
        <f>IF(C54="","",(IF(OR('Ingoing substances'!V54="No",'Rinse-off - DID'!O54="Y",'Rinse-off - DID'!Q54="Y"),"",C54*1000/$D$60)))</f>
        <v/>
      </c>
    </row>
    <row r="55" spans="1:10" hidden="1">
      <c r="A55" s="5">
        <v>46</v>
      </c>
      <c r="B55" s="6" t="str">
        <f>'Rinse-off - DID'!B55</f>
        <v/>
      </c>
      <c r="C55" s="15" t="str">
        <f>IF(B55="","",'Rinse-off - DID'!G55)</f>
        <v/>
      </c>
      <c r="D55" s="6" t="str">
        <f>IF(B55="","",IF('Ingoing substances'!V55="Yes",C55,""))</f>
        <v/>
      </c>
      <c r="E55" s="16" t="str">
        <f>IF(B55="","",C55*'Rinse-off - DID'!L55*1000/'Rinse-off - DID'!M55)</f>
        <v/>
      </c>
      <c r="F55" s="16" t="str">
        <f t="shared" si="0"/>
        <v/>
      </c>
      <c r="G55" s="16" t="str">
        <f>IF(OR('Ingoing substances'!I55="N",'Rinse-off - DID'!N55="R"),"",'Results 1&amp;2'!C55)</f>
        <v/>
      </c>
      <c r="H55" s="16" t="str">
        <f>IF(OR('Ingoing substances'!I55="N",'Rinse-off - DID'!O55="Y"),"",D55)</f>
        <v/>
      </c>
      <c r="I55" s="16" t="str">
        <f>IF(C55="","",(IF(OR('Ingoing substances'!V55="No",'Rinse-off - DID'!N55="R"),"",C55*1000/$D$60)))</f>
        <v/>
      </c>
      <c r="J55" s="16" t="str">
        <f>IF(C55="","",(IF(OR('Ingoing substances'!V55="No",'Rinse-off - DID'!O55="Y",'Rinse-off - DID'!Q55="Y"),"",C55*1000/$D$60)))</f>
        <v/>
      </c>
    </row>
    <row r="56" spans="1:10" hidden="1">
      <c r="A56" s="5">
        <v>47</v>
      </c>
      <c r="B56" s="6" t="str">
        <f>'Rinse-off - DID'!B56</f>
        <v/>
      </c>
      <c r="C56" s="15" t="str">
        <f>IF(B56="","",'Rinse-off - DID'!G56)</f>
        <v/>
      </c>
      <c r="D56" s="6" t="str">
        <f>IF(B56="","",IF('Ingoing substances'!V56="Yes",C56,""))</f>
        <v/>
      </c>
      <c r="E56" s="16" t="str">
        <f>IF(B56="","",C56*'Rinse-off - DID'!L56*1000/'Rinse-off - DID'!M56)</f>
        <v/>
      </c>
      <c r="F56" s="16" t="str">
        <f t="shared" si="0"/>
        <v/>
      </c>
      <c r="G56" s="16" t="str">
        <f>IF(OR('Ingoing substances'!I56="N",'Rinse-off - DID'!N56="R"),"",'Results 1&amp;2'!C56)</f>
        <v/>
      </c>
      <c r="H56" s="16" t="str">
        <f>IF(OR('Ingoing substances'!I56="N",'Rinse-off - DID'!O56="Y"),"",D56)</f>
        <v/>
      </c>
      <c r="I56" s="16" t="str">
        <f>IF(C56="","",(IF(OR('Ingoing substances'!V56="No",'Rinse-off - DID'!N56="R"),"",C56*1000/$D$60)))</f>
        <v/>
      </c>
      <c r="J56" s="16" t="str">
        <f>IF(C56="","",(IF(OR('Ingoing substances'!V56="No",'Rinse-off - DID'!O56="Y",'Rinse-off - DID'!Q56="Y"),"",C56*1000/$D$60)))</f>
        <v/>
      </c>
    </row>
    <row r="57" spans="1:10" hidden="1">
      <c r="A57" s="5">
        <v>48</v>
      </c>
      <c r="B57" s="6" t="str">
        <f>'Rinse-off - DID'!B57</f>
        <v/>
      </c>
      <c r="C57" s="15" t="str">
        <f>IF(B57="","",'Rinse-off - DID'!G57)</f>
        <v/>
      </c>
      <c r="D57" s="6" t="str">
        <f>IF(B57="","",IF('Ingoing substances'!V57="Yes",C57,""))</f>
        <v/>
      </c>
      <c r="E57" s="16" t="str">
        <f>IF(B57="","",C57*'Rinse-off - DID'!L57*1000/'Rinse-off - DID'!M57)</f>
        <v/>
      </c>
      <c r="F57" s="16" t="str">
        <f t="shared" si="0"/>
        <v/>
      </c>
      <c r="G57" s="16" t="str">
        <f>IF(OR('Ingoing substances'!I57="N",'Rinse-off - DID'!N57="R"),"",'Results 1&amp;2'!C57)</f>
        <v/>
      </c>
      <c r="H57" s="16" t="str">
        <f>IF(OR('Ingoing substances'!I57="N",'Rinse-off - DID'!O57="Y"),"",D57)</f>
        <v/>
      </c>
      <c r="I57" s="16" t="str">
        <f>IF(C57="","",(IF(OR('Ingoing substances'!V57="No",'Rinse-off - DID'!N57="R"),"",C57*1000/$D$60)))</f>
        <v/>
      </c>
      <c r="J57" s="16" t="str">
        <f>IF(C57="","",(IF(OR('Ingoing substances'!V57="No",'Rinse-off - DID'!O57="Y",'Rinse-off - DID'!Q57="Y"),"",C57*1000/$D$60)))</f>
        <v/>
      </c>
    </row>
    <row r="58" spans="1:10" hidden="1">
      <c r="A58" s="5">
        <v>49</v>
      </c>
      <c r="B58" s="6" t="str">
        <f>'Rinse-off - DID'!B58</f>
        <v/>
      </c>
      <c r="C58" s="15" t="str">
        <f>IF(B58="","",'Rinse-off - DID'!G58)</f>
        <v/>
      </c>
      <c r="D58" s="6" t="str">
        <f>IF(B58="","",IF('Ingoing substances'!V58="Yes",C58,""))</f>
        <v/>
      </c>
      <c r="E58" s="16" t="str">
        <f>IF(B58="","",C58*'Rinse-off - DID'!L58*1000/'Rinse-off - DID'!M58)</f>
        <v/>
      </c>
      <c r="F58" s="16" t="str">
        <f t="shared" si="0"/>
        <v/>
      </c>
      <c r="G58" s="16" t="str">
        <f>IF(OR('Ingoing substances'!I58="N",'Rinse-off - DID'!N58="R"),"",'Results 1&amp;2'!C58)</f>
        <v/>
      </c>
      <c r="H58" s="16" t="str">
        <f>IF(OR('Ingoing substances'!I58="N",'Rinse-off - DID'!O58="Y"),"",D58)</f>
        <v/>
      </c>
      <c r="I58" s="16" t="str">
        <f>IF(C58="","",(IF(OR('Ingoing substances'!V58="No",'Rinse-off - DID'!N58="R"),"",C58*1000/$D$60)))</f>
        <v/>
      </c>
      <c r="J58" s="16" t="str">
        <f>IF(C58="","",(IF(OR('Ingoing substances'!V58="No",'Rinse-off - DID'!O58="Y",'Rinse-off - DID'!Q58="Y"),"",C58*1000/$D$60)))</f>
        <v/>
      </c>
    </row>
    <row r="59" spans="1:10" hidden="1">
      <c r="A59" s="5">
        <v>50</v>
      </c>
      <c r="B59" s="107" t="str">
        <f>'Rinse-off - DID'!B59</f>
        <v/>
      </c>
      <c r="C59" s="108" t="str">
        <f>IF(B59="","",'Rinse-off - DID'!G59)</f>
        <v/>
      </c>
      <c r="D59" s="107" t="str">
        <f>IF(B59="","",IF('Ingoing substances'!V59="Yes",C59,""))</f>
        <v/>
      </c>
      <c r="E59" s="109" t="str">
        <f>IF(B59="","",C59*'Rinse-off - DID'!L59*1000/'Rinse-off - DID'!M59)</f>
        <v/>
      </c>
      <c r="F59" s="109" t="str">
        <f t="shared" si="0"/>
        <v/>
      </c>
      <c r="G59" s="109" t="str">
        <f>IF(OR('Ingoing substances'!I59="N",'Rinse-off - DID'!N59="R"),"",'Results 1&amp;2'!C59)</f>
        <v/>
      </c>
      <c r="H59" s="16" t="str">
        <f>IF(OR('Ingoing substances'!I59="N",'Rinse-off - DID'!O59="Y"),"",D59)</f>
        <v/>
      </c>
      <c r="I59" s="109" t="str">
        <f>IF(C59="","",(IF(OR('Ingoing substances'!V59="No",'Rinse-off - DID'!N59="R"),"",C59*1000/$D$60)))</f>
        <v/>
      </c>
      <c r="J59" s="16" t="str">
        <f>IF(C59="","",(IF(OR('Ingoing substances'!V59="No",'Rinse-off - DID'!O59="Y",'Rinse-off - DID'!Q59="Y"),"",C59*1000/$D$60)))</f>
        <v/>
      </c>
    </row>
    <row r="60" spans="1:10" ht="15.75">
      <c r="B60" s="110" t="s">
        <v>27</v>
      </c>
      <c r="C60" s="111"/>
      <c r="D60" s="112">
        <f>SUM(D11:D59)</f>
        <v>0</v>
      </c>
      <c r="E60" s="112">
        <f>SUM(E11:E59)</f>
        <v>0</v>
      </c>
      <c r="F60" s="112">
        <f>SUM(F11:F59)</f>
        <v>0</v>
      </c>
      <c r="G60" s="112">
        <f t="shared" ref="G60:J60" si="1">SUM(G11:G59)</f>
        <v>0</v>
      </c>
      <c r="H60" s="112">
        <f t="shared" si="1"/>
        <v>0</v>
      </c>
      <c r="I60" s="112">
        <f t="shared" si="1"/>
        <v>0</v>
      </c>
      <c r="J60" s="112">
        <f t="shared" si="1"/>
        <v>0</v>
      </c>
    </row>
    <row r="61" spans="1:10" ht="15.75">
      <c r="B61" s="178" t="s">
        <v>434</v>
      </c>
      <c r="E61" s="110" t="s">
        <v>400</v>
      </c>
      <c r="F61" s="202">
        <f>IF('Product formulation'!C4="","0",12000)</f>
        <v>12000</v>
      </c>
      <c r="G61" s="136">
        <v>0</v>
      </c>
      <c r="H61" s="136">
        <v>0</v>
      </c>
      <c r="I61" s="202">
        <f>IF('Product formulation'!C4="","0",15)</f>
        <v>15</v>
      </c>
      <c r="J61" s="202">
        <f>IF('Product formulation'!C4="","0",15)</f>
        <v>15</v>
      </c>
    </row>
    <row r="62" spans="1:10" ht="15.75">
      <c r="B62" s="178" t="s">
        <v>434</v>
      </c>
      <c r="E62" s="110" t="s">
        <v>401</v>
      </c>
      <c r="F62" s="136" t="str">
        <f>IF(OR(F61&gt;F60,F61=F60),"Ok","No ok")</f>
        <v>Ok</v>
      </c>
      <c r="G62" s="136" t="str">
        <f t="shared" ref="G62:J62" si="2">IF(OR(G61&gt;G60,G61=G60),"Ok","No ok")</f>
        <v>Ok</v>
      </c>
      <c r="H62" s="136" t="str">
        <f t="shared" si="2"/>
        <v>Ok</v>
      </c>
      <c r="I62" s="136" t="str">
        <f t="shared" si="2"/>
        <v>Ok</v>
      </c>
      <c r="J62" s="136" t="str">
        <f t="shared" si="2"/>
        <v>Ok</v>
      </c>
    </row>
    <row r="64" spans="1:10">
      <c r="B64" s="2" t="s">
        <v>410</v>
      </c>
    </row>
    <row r="65" spans="2:8">
      <c r="B65" s="311"/>
      <c r="C65" s="312"/>
      <c r="D65" s="312"/>
      <c r="E65" s="312"/>
      <c r="F65" s="312"/>
      <c r="G65" s="312"/>
      <c r="H65" s="313"/>
    </row>
    <row r="66" spans="2:8">
      <c r="B66" s="314"/>
      <c r="C66" s="315"/>
      <c r="D66" s="315"/>
      <c r="E66" s="315"/>
      <c r="F66" s="315"/>
      <c r="G66" s="315"/>
      <c r="H66" s="316"/>
    </row>
    <row r="67" spans="2:8">
      <c r="B67" s="314"/>
      <c r="C67" s="315"/>
      <c r="D67" s="315"/>
      <c r="E67" s="315"/>
      <c r="F67" s="315"/>
      <c r="G67" s="315"/>
      <c r="H67" s="316"/>
    </row>
    <row r="68" spans="2:8">
      <c r="B68" s="317"/>
      <c r="C68" s="318"/>
      <c r="D68" s="318"/>
      <c r="E68" s="318"/>
      <c r="F68" s="318"/>
      <c r="G68" s="318"/>
      <c r="H68" s="319"/>
    </row>
  </sheetData>
  <sheetProtection algorithmName="SHA-512" hashValue="4PDewebFnFs3nY6dlv/3Uj2pRhDFYgyt8DITeLzwcS4g0aRHcX8sk8jLprPutdknI48qySVAvc/BpPbAE79cJg==" saltValue="Rh3bCuUL6EWzEGKV7CklJw==" spinCount="100000" sheet="1" selectLockedCells="1"/>
  <autoFilter ref="B8:B62" xr:uid="{00000000-0009-0000-0000-000004000000}">
    <filterColumn colId="0">
      <customFilters>
        <customFilter operator="notEqual" val=" "/>
      </customFilters>
    </filterColumn>
  </autoFilter>
  <mergeCells count="5">
    <mergeCell ref="B65:H68"/>
    <mergeCell ref="B1:D1"/>
    <mergeCell ref="C2:D2"/>
    <mergeCell ref="C3:D3"/>
    <mergeCell ref="C4:D4"/>
  </mergeCells>
  <conditionalFormatting sqref="F62:J62">
    <cfRule type="beginsWith" dxfId="54" priority="1" operator="beginsWith" text="No">
      <formula>LEFT(F62,LEN("No"))="No"</formula>
    </cfRule>
    <cfRule type="beginsWith" dxfId="53" priority="2" operator="beginsWith" text="Ok">
      <formula>LEFT(F62,LEN("Ok"))="Ok"</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1">
    <outlinePr showOutlineSymbols="0"/>
  </sheetPr>
  <dimension ref="A1:R77"/>
  <sheetViews>
    <sheetView showOutlineSymbols="0" zoomScale="60" zoomScaleNormal="60" workbookViewId="0">
      <selection activeCell="E8" sqref="E8"/>
    </sheetView>
  </sheetViews>
  <sheetFormatPr defaultColWidth="11.42578125" defaultRowHeight="12.75"/>
  <cols>
    <col min="1" max="1" width="5.42578125" style="2" customWidth="1"/>
    <col min="2" max="2" width="30.7109375" style="2" customWidth="1"/>
    <col min="3" max="3" width="20.28515625" style="2" bestFit="1" customWidth="1"/>
    <col min="4" max="4" width="20.28515625" style="2" customWidth="1"/>
    <col min="5" max="5" width="20.7109375" style="2" customWidth="1"/>
    <col min="6" max="6" width="4.28515625" style="2" customWidth="1"/>
    <col min="7" max="7" width="30.7109375" style="2" customWidth="1"/>
    <col min="8" max="8" width="20.28515625" style="2" bestFit="1" customWidth="1"/>
    <col min="9" max="9" width="20.28515625" style="2" customWidth="1"/>
    <col min="10" max="10" width="20.7109375" style="2" customWidth="1"/>
    <col min="11" max="11" width="3.85546875" style="2" customWidth="1"/>
    <col min="12" max="12" width="30.7109375" style="2" customWidth="1"/>
    <col min="13" max="13" width="23.7109375" style="2" customWidth="1"/>
    <col min="14" max="14" width="25" style="2" customWidth="1"/>
    <col min="15" max="16384" width="11.42578125" style="2"/>
  </cols>
  <sheetData>
    <row r="1" spans="1:11">
      <c r="B1" s="321" t="s">
        <v>356</v>
      </c>
      <c r="C1" s="322"/>
      <c r="D1" s="322"/>
      <c r="E1" s="322"/>
      <c r="F1" s="98"/>
      <c r="G1" s="345" t="s">
        <v>417</v>
      </c>
      <c r="H1" s="346"/>
      <c r="I1" s="346"/>
      <c r="J1" s="346"/>
      <c r="K1" s="346"/>
    </row>
    <row r="2" spans="1:11">
      <c r="B2" s="96" t="s">
        <v>229</v>
      </c>
      <c r="C2" s="334" t="str">
        <f>'Product formulation'!C2</f>
        <v/>
      </c>
      <c r="D2" s="334"/>
      <c r="E2" s="334"/>
      <c r="F2" s="24"/>
      <c r="G2" s="345"/>
      <c r="H2" s="346"/>
      <c r="I2" s="346"/>
      <c r="J2" s="346"/>
      <c r="K2" s="346"/>
    </row>
    <row r="3" spans="1:11">
      <c r="B3" s="96" t="s">
        <v>9</v>
      </c>
      <c r="C3" s="334" t="str">
        <f>'Product formulation'!C3</f>
        <v>Rinse-off product</v>
      </c>
      <c r="D3" s="334"/>
      <c r="E3" s="334"/>
      <c r="F3" s="24"/>
      <c r="G3" s="345"/>
      <c r="H3" s="346"/>
      <c r="I3" s="346"/>
      <c r="J3" s="346"/>
      <c r="K3" s="346"/>
    </row>
    <row r="4" spans="1:11">
      <c r="B4" s="97" t="s">
        <v>257</v>
      </c>
      <c r="C4" s="334" t="str">
        <f>'Product formulation'!C4</f>
        <v>Animal care product</v>
      </c>
      <c r="D4" s="334"/>
      <c r="E4" s="334"/>
      <c r="F4" s="24"/>
      <c r="G4" s="345"/>
      <c r="H4" s="346"/>
      <c r="I4" s="346"/>
      <c r="J4" s="346"/>
      <c r="K4" s="346"/>
    </row>
    <row r="6" spans="1:11" s="132" customFormat="1" ht="15.75">
      <c r="A6" s="132" t="s">
        <v>278</v>
      </c>
    </row>
    <row r="7" spans="1:11">
      <c r="C7" s="56"/>
      <c r="D7" s="56"/>
    </row>
    <row r="8" spans="1:11" ht="12.75" customHeight="1">
      <c r="B8" s="341" t="s">
        <v>258</v>
      </c>
      <c r="C8" s="342"/>
      <c r="D8" s="343"/>
      <c r="E8" s="130" t="s">
        <v>442</v>
      </c>
    </row>
    <row r="9" spans="1:11" ht="48" customHeight="1">
      <c r="B9" s="341" t="s">
        <v>449</v>
      </c>
      <c r="C9" s="342"/>
      <c r="D9" s="343"/>
      <c r="E9" s="91"/>
      <c r="G9" s="349" t="str">
        <f>IF(E9="Yes","We provide pictures of the products as marketed or relevant evidence","")</f>
        <v/>
      </c>
      <c r="H9" s="349"/>
      <c r="I9" s="349"/>
      <c r="J9" s="349"/>
    </row>
    <row r="10" spans="1:11" ht="25.5" customHeight="1">
      <c r="B10" s="341" t="s">
        <v>405</v>
      </c>
      <c r="C10" s="342"/>
      <c r="D10" s="343"/>
      <c r="E10" s="194"/>
      <c r="G10" s="341" t="str">
        <f>IF(E8="Yes","Provide the number of foreseen refillings, or use the default values of R = 5 for plastics and R = 2 for cardboard","")</f>
        <v>Provide the number of foreseen refillings, or use the default values of R = 5 for plastics and R = 2 for cardboard</v>
      </c>
      <c r="H10" s="342"/>
      <c r="I10" s="343"/>
      <c r="J10" s="203"/>
    </row>
    <row r="11" spans="1:11" ht="27.75" customHeight="1">
      <c r="B11" s="341" t="s">
        <v>436</v>
      </c>
      <c r="C11" s="342"/>
      <c r="D11" s="343"/>
      <c r="E11" s="195" t="e">
        <f>IF(E8="No","",ROUNDUP(E18*E10/J18,0))</f>
        <v>#DIV/0!</v>
      </c>
    </row>
    <row r="12" spans="1:11">
      <c r="B12" s="341" t="s">
        <v>448</v>
      </c>
      <c r="C12" s="342"/>
      <c r="D12" s="343"/>
      <c r="E12" s="91"/>
    </row>
    <row r="13" spans="1:11" ht="37.5" customHeight="1">
      <c r="B13" s="341" t="s">
        <v>468</v>
      </c>
      <c r="C13" s="342"/>
      <c r="D13" s="343"/>
      <c r="E13" s="91" t="s">
        <v>442</v>
      </c>
      <c r="G13" s="341" t="str">
        <f>IF(E13="Yes","For liquid hand the pump or dispenser provides following amount per press:","")</f>
        <v>For liquid hand the pump or dispenser provides following amount per press:</v>
      </c>
      <c r="H13" s="342"/>
      <c r="I13" s="343"/>
      <c r="J13" s="91"/>
    </row>
    <row r="14" spans="1:11" ht="33" customHeight="1">
      <c r="B14" s="341" t="s">
        <v>450</v>
      </c>
      <c r="C14" s="342"/>
      <c r="D14" s="343"/>
      <c r="E14" s="91"/>
    </row>
    <row r="16" spans="1:11" s="11" customFormat="1" ht="15" customHeight="1">
      <c r="B16" s="348" t="s">
        <v>259</v>
      </c>
      <c r="C16" s="348"/>
      <c r="D16" s="348"/>
      <c r="E16" s="348"/>
      <c r="G16" s="348" t="s">
        <v>268</v>
      </c>
      <c r="H16" s="348"/>
      <c r="I16" s="348"/>
      <c r="J16" s="348"/>
    </row>
    <row r="17" spans="2:18" s="137" customFormat="1" ht="27.75" customHeight="1">
      <c r="B17" s="341" t="s">
        <v>406</v>
      </c>
      <c r="C17" s="342"/>
      <c r="D17" s="343"/>
      <c r="E17" s="91"/>
      <c r="G17" s="341" t="s">
        <v>408</v>
      </c>
      <c r="H17" s="342"/>
      <c r="I17" s="343"/>
      <c r="J17" s="91"/>
    </row>
    <row r="18" spans="2:18" s="137" customFormat="1" ht="28.5" customHeight="1">
      <c r="B18" s="341" t="s">
        <v>469</v>
      </c>
      <c r="C18" s="342"/>
      <c r="D18" s="343"/>
      <c r="E18" s="91"/>
      <c r="G18" s="341" t="s">
        <v>443</v>
      </c>
      <c r="H18" s="342"/>
      <c r="I18" s="343"/>
      <c r="J18" s="91"/>
    </row>
    <row r="19" spans="2:18" s="137" customFormat="1" ht="24" customHeight="1">
      <c r="B19" s="341" t="s">
        <v>260</v>
      </c>
      <c r="C19" s="342"/>
      <c r="D19" s="343"/>
      <c r="E19" s="91"/>
      <c r="G19" s="341" t="s">
        <v>260</v>
      </c>
      <c r="H19" s="342"/>
      <c r="I19" s="343"/>
      <c r="J19" s="91"/>
      <c r="L19" s="360" t="str">
        <f>IF(OR(E19="Yes",J19="Yes"),"Only allowed to group the product and its refill or for products that include several elements for their use. We provide pictures of the products as marketed or relevant evidence.","")</f>
        <v/>
      </c>
      <c r="M19" s="360"/>
      <c r="N19" s="360"/>
      <c r="O19" s="197"/>
      <c r="P19" s="197"/>
      <c r="Q19" s="197"/>
      <c r="R19" s="197"/>
    </row>
    <row r="20" spans="2:18" s="137" customFormat="1" ht="18.75" customHeight="1">
      <c r="B20" s="341" t="s">
        <v>407</v>
      </c>
      <c r="C20" s="342"/>
      <c r="D20" s="343"/>
      <c r="E20" s="91"/>
      <c r="G20" s="341" t="s">
        <v>407</v>
      </c>
      <c r="H20" s="342"/>
      <c r="I20" s="343"/>
      <c r="J20" s="91"/>
    </row>
    <row r="21" spans="2:18" ht="38.25">
      <c r="B21" s="133" t="s">
        <v>261</v>
      </c>
      <c r="C21" s="133" t="s">
        <v>445</v>
      </c>
      <c r="D21" s="133" t="s">
        <v>446</v>
      </c>
      <c r="E21" s="133" t="s">
        <v>447</v>
      </c>
      <c r="G21" s="133" t="s">
        <v>261</v>
      </c>
      <c r="H21" s="133" t="s">
        <v>445</v>
      </c>
      <c r="I21" s="133" t="s">
        <v>446</v>
      </c>
      <c r="J21" s="133" t="s">
        <v>263</v>
      </c>
    </row>
    <row r="22" spans="2:18">
      <c r="B22" s="9"/>
      <c r="C22" s="148"/>
      <c r="D22" s="148"/>
      <c r="E22" s="148"/>
      <c r="G22" s="9"/>
      <c r="H22" s="148"/>
      <c r="I22" s="148"/>
      <c r="J22" s="148"/>
    </row>
    <row r="23" spans="2:18">
      <c r="B23" s="9"/>
      <c r="C23" s="148"/>
      <c r="D23" s="148"/>
      <c r="E23" s="148"/>
      <c r="G23" s="9"/>
      <c r="H23" s="148"/>
      <c r="I23" s="148"/>
      <c r="J23" s="148"/>
    </row>
    <row r="24" spans="2:18">
      <c r="B24" s="9"/>
      <c r="C24" s="148"/>
      <c r="D24" s="148"/>
      <c r="E24" s="148"/>
      <c r="G24" s="9"/>
      <c r="H24" s="148"/>
      <c r="I24" s="148"/>
      <c r="J24" s="148"/>
    </row>
    <row r="25" spans="2:18">
      <c r="B25" s="9"/>
      <c r="C25" s="148"/>
      <c r="D25" s="148"/>
      <c r="E25" s="148"/>
      <c r="G25" s="9"/>
      <c r="H25" s="148"/>
      <c r="I25" s="148"/>
      <c r="J25" s="148"/>
    </row>
    <row r="26" spans="2:18">
      <c r="B26" s="9"/>
      <c r="C26" s="148"/>
      <c r="D26" s="148"/>
      <c r="E26" s="148"/>
      <c r="G26" s="9"/>
      <c r="H26" s="148"/>
      <c r="I26" s="148"/>
      <c r="J26" s="148"/>
    </row>
    <row r="27" spans="2:18" ht="18.75" customHeight="1">
      <c r="B27" s="138" t="s">
        <v>27</v>
      </c>
      <c r="C27" s="149">
        <f>SUM(C22:C26)</f>
        <v>0</v>
      </c>
      <c r="D27" s="149">
        <f>SUM(D22:D26)</f>
        <v>0</v>
      </c>
      <c r="E27" s="149">
        <f>SUM(E22:E26)</f>
        <v>0</v>
      </c>
      <c r="G27" s="138" t="s">
        <v>27</v>
      </c>
      <c r="H27" s="149">
        <f>SUM(H22:H26)</f>
        <v>0</v>
      </c>
      <c r="I27" s="149">
        <f>SUM(I22:I26)</f>
        <v>0</v>
      </c>
      <c r="J27" s="149">
        <f>SUM(J22:J26)</f>
        <v>0</v>
      </c>
    </row>
    <row r="28" spans="2:18" ht="38.25">
      <c r="B28" s="133" t="s">
        <v>262</v>
      </c>
      <c r="C28" s="354" t="s">
        <v>264</v>
      </c>
      <c r="D28" s="355"/>
      <c r="E28" s="133" t="s">
        <v>263</v>
      </c>
      <c r="G28" s="133" t="s">
        <v>262</v>
      </c>
      <c r="H28" s="354" t="s">
        <v>264</v>
      </c>
      <c r="I28" s="355"/>
      <c r="J28" s="133" t="s">
        <v>263</v>
      </c>
    </row>
    <row r="29" spans="2:18">
      <c r="B29" s="9"/>
      <c r="C29" s="350"/>
      <c r="D29" s="351"/>
      <c r="E29" s="148"/>
      <c r="G29" s="9"/>
      <c r="H29" s="350"/>
      <c r="I29" s="351"/>
      <c r="J29" s="148"/>
    </row>
    <row r="30" spans="2:18">
      <c r="B30" s="9"/>
      <c r="C30" s="350"/>
      <c r="D30" s="351"/>
      <c r="E30" s="148"/>
      <c r="G30" s="9"/>
      <c r="H30" s="350"/>
      <c r="I30" s="351"/>
      <c r="J30" s="148"/>
    </row>
    <row r="31" spans="2:18">
      <c r="B31" s="9"/>
      <c r="C31" s="350"/>
      <c r="D31" s="351"/>
      <c r="E31" s="148"/>
      <c r="G31" s="9"/>
      <c r="H31" s="350"/>
      <c r="I31" s="351"/>
      <c r="J31" s="148"/>
    </row>
    <row r="32" spans="2:18">
      <c r="B32" s="9"/>
      <c r="C32" s="350"/>
      <c r="D32" s="351"/>
      <c r="E32" s="148"/>
      <c r="G32" s="9"/>
      <c r="H32" s="350"/>
      <c r="I32" s="351"/>
      <c r="J32" s="148"/>
    </row>
    <row r="33" spans="1:10">
      <c r="B33" s="9"/>
      <c r="C33" s="350"/>
      <c r="D33" s="351"/>
      <c r="E33" s="148"/>
      <c r="G33" s="9"/>
      <c r="H33" s="350"/>
      <c r="I33" s="351"/>
      <c r="J33" s="148"/>
    </row>
    <row r="34" spans="1:10" ht="18.75" customHeight="1">
      <c r="B34" s="138" t="s">
        <v>27</v>
      </c>
      <c r="C34" s="352">
        <f>SUM(C29:C33)</f>
        <v>0</v>
      </c>
      <c r="D34" s="353"/>
      <c r="E34" s="191">
        <f>SUM(E29:E33)</f>
        <v>0</v>
      </c>
      <c r="G34" s="138" t="s">
        <v>27</v>
      </c>
      <c r="H34" s="352">
        <f>SUM(H29:H33)</f>
        <v>0</v>
      </c>
      <c r="I34" s="353"/>
      <c r="J34" s="191">
        <f>SUM(J29:J33)</f>
        <v>0</v>
      </c>
    </row>
    <row r="35" spans="1:10" ht="25.5">
      <c r="B35" s="139" t="s">
        <v>267</v>
      </c>
      <c r="C35" s="352">
        <f>IF($E$20="",0,C34/$E$20)</f>
        <v>0</v>
      </c>
      <c r="D35" s="353"/>
      <c r="E35" s="191">
        <f>IF($E$20="",0,E34/$E$20)</f>
        <v>0</v>
      </c>
      <c r="G35" s="139" t="s">
        <v>267</v>
      </c>
      <c r="H35" s="352">
        <f>IF($J$20="",0,H34/$J$20)</f>
        <v>0</v>
      </c>
      <c r="I35" s="353"/>
      <c r="J35" s="191">
        <f>IF($J$20="",0,J34/$J$20)</f>
        <v>0</v>
      </c>
    </row>
    <row r="36" spans="1:10" s="137" customFormat="1" ht="18.75" customHeight="1">
      <c r="B36" s="347" t="s">
        <v>265</v>
      </c>
      <c r="C36" s="347"/>
      <c r="D36" s="188"/>
      <c r="E36" s="192">
        <f>C27+C35</f>
        <v>0</v>
      </c>
      <c r="G36" s="347" t="s">
        <v>270</v>
      </c>
      <c r="H36" s="347"/>
      <c r="I36" s="188"/>
      <c r="J36" s="192">
        <f>H27+H35</f>
        <v>0</v>
      </c>
    </row>
    <row r="37" spans="1:10" s="137" customFormat="1" ht="18.75" customHeight="1">
      <c r="B37" s="347" t="s">
        <v>266</v>
      </c>
      <c r="C37" s="347"/>
      <c r="D37" s="188"/>
      <c r="E37" s="192">
        <f>E27+E35</f>
        <v>0</v>
      </c>
      <c r="G37" s="347" t="s">
        <v>271</v>
      </c>
      <c r="H37" s="347"/>
      <c r="I37" s="188"/>
      <c r="J37" s="192">
        <f>J27+J35</f>
        <v>0</v>
      </c>
    </row>
    <row r="39" spans="1:10" ht="25.5" customHeight="1">
      <c r="C39" s="358" t="s">
        <v>444</v>
      </c>
      <c r="D39" s="359"/>
      <c r="E39" s="196" t="str">
        <f>IF(E17="","",(D27/C27))</f>
        <v/>
      </c>
      <c r="H39" s="358" t="s">
        <v>444</v>
      </c>
      <c r="I39" s="359"/>
      <c r="J39" s="196" t="str">
        <f>IF(J17="","",(I27/H27))</f>
        <v/>
      </c>
    </row>
    <row r="40" spans="1:10">
      <c r="C40" s="356" t="s">
        <v>269</v>
      </c>
      <c r="D40" s="357"/>
      <c r="E40" s="190" t="str">
        <f>IF(E17="","",(IF(E8="Yes",((E36+(J36*E11)+E37+(J37*E11))/(E17+(J17*E11))),((E36+E37)/E17))))</f>
        <v/>
      </c>
      <c r="H40" s="140" t="s">
        <v>269</v>
      </c>
      <c r="I40" s="140"/>
      <c r="J40" s="190" t="str">
        <f>IF(J17="","",(J36+J37)/J17)</f>
        <v/>
      </c>
    </row>
    <row r="41" spans="1:10">
      <c r="C41" s="356" t="s">
        <v>400</v>
      </c>
      <c r="D41" s="357"/>
      <c r="E41" s="141">
        <v>0.2</v>
      </c>
      <c r="H41" s="113" t="s">
        <v>400</v>
      </c>
      <c r="I41" s="113"/>
      <c r="J41" s="141">
        <v>0.2</v>
      </c>
    </row>
    <row r="42" spans="1:10">
      <c r="C42" s="356" t="s">
        <v>401</v>
      </c>
      <c r="D42" s="357"/>
      <c r="E42" s="141" t="str">
        <f>IF(OR(E40&lt;E41,E41=E40,E12="Yes",E39&gt;0.8),"Ok","No ok")</f>
        <v>Ok</v>
      </c>
      <c r="H42" s="114" t="s">
        <v>401</v>
      </c>
      <c r="I42" s="113"/>
      <c r="J42" s="141" t="str">
        <f>IF(OR(J40&lt;=J39&gt;0.8),"Ok","No ok")</f>
        <v>Ok</v>
      </c>
    </row>
    <row r="45" spans="1:10" s="132" customFormat="1" ht="15.75">
      <c r="A45" s="132" t="s">
        <v>404</v>
      </c>
    </row>
    <row r="46" spans="1:10" s="189" customFormat="1" ht="15.75"/>
    <row r="47" spans="1:10" s="189" customFormat="1" ht="51.75" customHeight="1">
      <c r="B47" s="341" t="s">
        <v>454</v>
      </c>
      <c r="C47" s="342"/>
      <c r="D47" s="343"/>
      <c r="E47" s="91" t="s">
        <v>442</v>
      </c>
    </row>
    <row r="48" spans="1:10" s="189" customFormat="1" ht="51.75" customHeight="1">
      <c r="B48" s="341" t="s">
        <v>455</v>
      </c>
      <c r="C48" s="342"/>
      <c r="D48" s="343"/>
      <c r="E48" s="91" t="s">
        <v>442</v>
      </c>
    </row>
    <row r="49" spans="1:10" ht="43.5" customHeight="1">
      <c r="B49" s="341" t="s">
        <v>480</v>
      </c>
      <c r="C49" s="342"/>
      <c r="D49" s="343"/>
      <c r="E49" s="91" t="s">
        <v>442</v>
      </c>
      <c r="G49" s="341" t="s">
        <v>453</v>
      </c>
      <c r="H49" s="342"/>
      <c r="I49" s="343"/>
      <c r="J49" s="91"/>
    </row>
    <row r="50" spans="1:10" ht="43.5" customHeight="1">
      <c r="B50" s="341" t="s">
        <v>481</v>
      </c>
      <c r="C50" s="342"/>
      <c r="D50" s="343"/>
      <c r="E50" s="91"/>
    </row>
    <row r="51" spans="1:10" ht="43.5" customHeight="1">
      <c r="B51" s="341" t="s">
        <v>456</v>
      </c>
      <c r="C51" s="342"/>
      <c r="D51" s="343"/>
      <c r="E51" s="91" t="s">
        <v>442</v>
      </c>
    </row>
    <row r="52" spans="1:10" ht="18.75" customHeight="1">
      <c r="B52" s="341" t="s">
        <v>272</v>
      </c>
      <c r="C52" s="342"/>
      <c r="D52" s="343"/>
      <c r="E52" s="193">
        <f>C27+E17</f>
        <v>0</v>
      </c>
      <c r="G52" s="341" t="s">
        <v>272</v>
      </c>
      <c r="H52" s="342"/>
      <c r="I52" s="343"/>
      <c r="J52" s="193">
        <f>H27+J17</f>
        <v>0</v>
      </c>
    </row>
    <row r="53" spans="1:10" ht="28.5" customHeight="1">
      <c r="B53" s="341" t="s">
        <v>273</v>
      </c>
      <c r="C53" s="342"/>
      <c r="D53" s="343"/>
      <c r="E53" s="91"/>
      <c r="G53" s="341" t="s">
        <v>273</v>
      </c>
      <c r="H53" s="342"/>
      <c r="I53" s="343"/>
      <c r="J53" s="91"/>
    </row>
    <row r="54" spans="1:10" ht="18.75" customHeight="1">
      <c r="B54" s="341" t="s">
        <v>274</v>
      </c>
      <c r="C54" s="342"/>
      <c r="D54" s="343"/>
      <c r="E54" s="193">
        <f>C27</f>
        <v>0</v>
      </c>
      <c r="G54" s="341" t="s">
        <v>274</v>
      </c>
      <c r="H54" s="342"/>
      <c r="I54" s="343"/>
      <c r="J54" s="193">
        <f>H27</f>
        <v>0</v>
      </c>
    </row>
    <row r="56" spans="1:10">
      <c r="C56" s="356" t="s">
        <v>275</v>
      </c>
      <c r="D56" s="357"/>
      <c r="E56" s="190" t="str">
        <f>IF(E53="","",(((E53-E54)/(E52-E54))*100))</f>
        <v/>
      </c>
      <c r="H56" s="356" t="s">
        <v>275</v>
      </c>
      <c r="I56" s="357"/>
      <c r="J56" s="190" t="str">
        <f>IF(J53="","",(((J53-J54)/(J52-J54))*100))</f>
        <v/>
      </c>
    </row>
    <row r="57" spans="1:10">
      <c r="C57" s="356" t="s">
        <v>400</v>
      </c>
      <c r="D57" s="357"/>
      <c r="E57" s="141">
        <f>IF(C3="Rinse-off product",5,IF(C3="Leave-on product",10,"-"))</f>
        <v>5</v>
      </c>
      <c r="H57" s="356" t="s">
        <v>400</v>
      </c>
      <c r="I57" s="357"/>
      <c r="J57" s="141">
        <f>IF(C3="Rinse-off product",5,IF(C4="Leave-on product",10,"-"))</f>
        <v>5</v>
      </c>
    </row>
    <row r="58" spans="1:10">
      <c r="C58" s="356" t="s">
        <v>401</v>
      </c>
      <c r="D58" s="357"/>
      <c r="E58" s="141" t="str">
        <f>IF(OR(E56&lt;=E57,E51="Yes"),"Ok","No ok")</f>
        <v>Ok</v>
      </c>
      <c r="H58" s="356" t="s">
        <v>401</v>
      </c>
      <c r="I58" s="357"/>
      <c r="J58" s="141" t="str">
        <f>IF(OR(J56&lt;J57,J57=J56),"Ok","No ok")</f>
        <v>No ok</v>
      </c>
    </row>
    <row r="60" spans="1:10" s="132" customFormat="1" ht="15.75">
      <c r="A60" s="132" t="s">
        <v>452</v>
      </c>
    </row>
    <row r="62" spans="1:10">
      <c r="B62" s="344" t="s">
        <v>259</v>
      </c>
      <c r="C62" s="344"/>
      <c r="D62" s="344"/>
      <c r="E62" s="344"/>
      <c r="G62" s="344" t="s">
        <v>268</v>
      </c>
      <c r="H62" s="344"/>
      <c r="I62" s="344"/>
      <c r="J62" s="344"/>
    </row>
    <row r="63" spans="1:10">
      <c r="B63" s="133" t="s">
        <v>288</v>
      </c>
      <c r="C63" s="335" t="s">
        <v>411</v>
      </c>
      <c r="D63" s="335"/>
      <c r="E63" s="335"/>
      <c r="G63" s="133" t="s">
        <v>288</v>
      </c>
      <c r="H63" s="335" t="s">
        <v>411</v>
      </c>
      <c r="I63" s="335"/>
      <c r="J63" s="335"/>
    </row>
    <row r="64" spans="1:10">
      <c r="B64" s="150" t="s">
        <v>284</v>
      </c>
      <c r="C64" s="336"/>
      <c r="D64" s="336"/>
      <c r="E64" s="336"/>
      <c r="G64" s="150" t="s">
        <v>284</v>
      </c>
      <c r="H64" s="336"/>
      <c r="I64" s="336"/>
      <c r="J64" s="336"/>
    </row>
    <row r="65" spans="2:10" ht="12.95" customHeight="1">
      <c r="B65" s="150" t="s">
        <v>285</v>
      </c>
      <c r="C65" s="336"/>
      <c r="D65" s="336"/>
      <c r="E65" s="336"/>
      <c r="G65" s="150" t="s">
        <v>285</v>
      </c>
      <c r="H65" s="336"/>
      <c r="I65" s="336"/>
      <c r="J65" s="336"/>
    </row>
    <row r="66" spans="2:10">
      <c r="B66" s="150" t="s">
        <v>286</v>
      </c>
      <c r="C66" s="336"/>
      <c r="D66" s="336"/>
      <c r="E66" s="336"/>
      <c r="G66" s="150" t="s">
        <v>286</v>
      </c>
      <c r="H66" s="336"/>
      <c r="I66" s="336"/>
      <c r="J66" s="336"/>
    </row>
    <row r="67" spans="2:10">
      <c r="B67" s="150" t="s">
        <v>451</v>
      </c>
      <c r="C67" s="336"/>
      <c r="D67" s="336"/>
      <c r="E67" s="336"/>
      <c r="G67" s="150" t="s">
        <v>451</v>
      </c>
      <c r="H67" s="336"/>
      <c r="I67" s="336"/>
      <c r="J67" s="336"/>
    </row>
    <row r="68" spans="2:10">
      <c r="B68" s="198" t="s">
        <v>287</v>
      </c>
      <c r="C68" s="337"/>
      <c r="D68" s="337"/>
      <c r="E68" s="337"/>
      <c r="G68" s="150" t="s">
        <v>287</v>
      </c>
      <c r="H68" s="336"/>
      <c r="I68" s="336"/>
      <c r="J68" s="336"/>
    </row>
    <row r="69" spans="2:10" ht="12.75" customHeight="1">
      <c r="B69" s="338" t="s">
        <v>457</v>
      </c>
      <c r="C69" s="339"/>
      <c r="D69" s="339"/>
      <c r="E69" s="340"/>
      <c r="G69" s="338" t="s">
        <v>457</v>
      </c>
      <c r="H69" s="339"/>
      <c r="I69" s="339"/>
      <c r="J69" s="340"/>
    </row>
    <row r="71" spans="2:10" ht="83.25" customHeight="1">
      <c r="B71" s="341" t="s">
        <v>470</v>
      </c>
      <c r="C71" s="342"/>
      <c r="D71" s="343"/>
      <c r="E71" s="91"/>
      <c r="G71" s="341" t="s">
        <v>470</v>
      </c>
      <c r="H71" s="342"/>
      <c r="I71" s="343"/>
      <c r="J71" s="91"/>
    </row>
    <row r="73" spans="2:10">
      <c r="B73" s="2" t="s">
        <v>410</v>
      </c>
    </row>
    <row r="74" spans="2:10">
      <c r="B74" s="311"/>
      <c r="C74" s="312"/>
      <c r="D74" s="312"/>
      <c r="E74" s="312"/>
      <c r="F74" s="312"/>
      <c r="G74" s="312"/>
      <c r="H74" s="312"/>
      <c r="I74" s="312"/>
      <c r="J74" s="313"/>
    </row>
    <row r="75" spans="2:10">
      <c r="B75" s="314"/>
      <c r="C75" s="315"/>
      <c r="D75" s="315"/>
      <c r="E75" s="315"/>
      <c r="F75" s="315"/>
      <c r="G75" s="315"/>
      <c r="H75" s="315"/>
      <c r="I75" s="315"/>
      <c r="J75" s="316"/>
    </row>
    <row r="76" spans="2:10">
      <c r="B76" s="314"/>
      <c r="C76" s="315"/>
      <c r="D76" s="315"/>
      <c r="E76" s="315"/>
      <c r="F76" s="315"/>
      <c r="G76" s="315"/>
      <c r="H76" s="315"/>
      <c r="I76" s="315"/>
      <c r="J76" s="316"/>
    </row>
    <row r="77" spans="2:10">
      <c r="B77" s="317"/>
      <c r="C77" s="318"/>
      <c r="D77" s="318"/>
      <c r="E77" s="318"/>
      <c r="F77" s="318"/>
      <c r="G77" s="318"/>
      <c r="H77" s="318"/>
      <c r="I77" s="318"/>
      <c r="J77" s="319"/>
    </row>
  </sheetData>
  <sheetProtection algorithmName="SHA-512" hashValue="gIyqyE/fZGRLA612RxY2yjGHAsAX8SoZ489fmovOQJIcS0DOsxYsj7L8mAntbK3exzLyhBeu39dIlmlZfTwY8w==" saltValue="OVHEhSKK42/wGlz4dGYuNQ==" spinCount="100000" sheet="1" selectLockedCells="1"/>
  <mergeCells count="89">
    <mergeCell ref="G71:I71"/>
    <mergeCell ref="L19:N19"/>
    <mergeCell ref="B47:D47"/>
    <mergeCell ref="C57:D57"/>
    <mergeCell ref="C58:D58"/>
    <mergeCell ref="H56:I56"/>
    <mergeCell ref="H57:I57"/>
    <mergeCell ref="H58:I58"/>
    <mergeCell ref="B54:D54"/>
    <mergeCell ref="G52:I52"/>
    <mergeCell ref="G53:I53"/>
    <mergeCell ref="G54:I54"/>
    <mergeCell ref="C56:D56"/>
    <mergeCell ref="H35:I35"/>
    <mergeCell ref="H39:I39"/>
    <mergeCell ref="B51:D51"/>
    <mergeCell ref="H33:I33"/>
    <mergeCell ref="H34:I34"/>
    <mergeCell ref="B52:D52"/>
    <mergeCell ref="B53:D53"/>
    <mergeCell ref="B48:D48"/>
    <mergeCell ref="B49:D49"/>
    <mergeCell ref="G49:I49"/>
    <mergeCell ref="B50:D50"/>
    <mergeCell ref="C35:D35"/>
    <mergeCell ref="C40:D40"/>
    <mergeCell ref="C41:D41"/>
    <mergeCell ref="C42:D42"/>
    <mergeCell ref="C39:D39"/>
    <mergeCell ref="B37:C37"/>
    <mergeCell ref="C32:D32"/>
    <mergeCell ref="C33:D33"/>
    <mergeCell ref="C34:D34"/>
    <mergeCell ref="G18:I18"/>
    <mergeCell ref="G19:I19"/>
    <mergeCell ref="G20:I20"/>
    <mergeCell ref="H28:I28"/>
    <mergeCell ref="H29:I29"/>
    <mergeCell ref="B20:D20"/>
    <mergeCell ref="C28:D28"/>
    <mergeCell ref="C29:D29"/>
    <mergeCell ref="C30:D30"/>
    <mergeCell ref="C31:D31"/>
    <mergeCell ref="H30:I30"/>
    <mergeCell ref="H31:I31"/>
    <mergeCell ref="H32:I32"/>
    <mergeCell ref="G9:J9"/>
    <mergeCell ref="B17:D17"/>
    <mergeCell ref="G17:I17"/>
    <mergeCell ref="B9:D9"/>
    <mergeCell ref="B10:D10"/>
    <mergeCell ref="B11:D11"/>
    <mergeCell ref="B12:D12"/>
    <mergeCell ref="B13:D13"/>
    <mergeCell ref="B14:D14"/>
    <mergeCell ref="G13:I13"/>
    <mergeCell ref="G10:I10"/>
    <mergeCell ref="B62:E62"/>
    <mergeCell ref="G62:J62"/>
    <mergeCell ref="G1:G4"/>
    <mergeCell ref="H1:K4"/>
    <mergeCell ref="G36:H36"/>
    <mergeCell ref="G37:H37"/>
    <mergeCell ref="G16:J16"/>
    <mergeCell ref="B1:E1"/>
    <mergeCell ref="C2:E2"/>
    <mergeCell ref="C3:E3"/>
    <mergeCell ref="C4:E4"/>
    <mergeCell ref="B8:D8"/>
    <mergeCell ref="B16:E16"/>
    <mergeCell ref="B18:D18"/>
    <mergeCell ref="B19:D19"/>
    <mergeCell ref="B36:C36"/>
    <mergeCell ref="B74:J77"/>
    <mergeCell ref="C63:E63"/>
    <mergeCell ref="C64:E64"/>
    <mergeCell ref="C65:E65"/>
    <mergeCell ref="C66:E66"/>
    <mergeCell ref="C67:E67"/>
    <mergeCell ref="C68:E68"/>
    <mergeCell ref="H63:J63"/>
    <mergeCell ref="H64:J64"/>
    <mergeCell ref="H65:J65"/>
    <mergeCell ref="H66:J66"/>
    <mergeCell ref="H67:J67"/>
    <mergeCell ref="H68:J68"/>
    <mergeCell ref="B69:E69"/>
    <mergeCell ref="G69:J69"/>
    <mergeCell ref="B71:D71"/>
  </mergeCells>
  <conditionalFormatting sqref="C29:C33">
    <cfRule type="expression" dxfId="52" priority="6">
      <formula>ISBLANK($B29)</formula>
    </cfRule>
  </conditionalFormatting>
  <conditionalFormatting sqref="C22:E26">
    <cfRule type="expression" dxfId="51" priority="35">
      <formula>ISBLANK($B22)</formula>
    </cfRule>
  </conditionalFormatting>
  <conditionalFormatting sqref="E10">
    <cfRule type="expression" dxfId="50" priority="29">
      <formula>$E$8="Yes"</formula>
    </cfRule>
  </conditionalFormatting>
  <conditionalFormatting sqref="E18">
    <cfRule type="cellIs" dxfId="49" priority="15" operator="lessThan">
      <formula>150</formula>
    </cfRule>
  </conditionalFormatting>
  <conditionalFormatting sqref="E29:E33">
    <cfRule type="expression" dxfId="48" priority="34">
      <formula>ISBLANK($B29)</formula>
    </cfRule>
  </conditionalFormatting>
  <conditionalFormatting sqref="E42">
    <cfRule type="beginsWith" dxfId="47" priority="27" operator="beginsWith" text="No">
      <formula>LEFT(E42,LEN("No"))="No"</formula>
    </cfRule>
    <cfRule type="beginsWith" dxfId="46" priority="28" operator="beginsWith" text="Ok">
      <formula>LEFT(E42,LEN("Ok"))="Ok"</formula>
    </cfRule>
  </conditionalFormatting>
  <conditionalFormatting sqref="E58">
    <cfRule type="beginsWith" dxfId="45" priority="12" operator="beginsWith" text="No">
      <formula>LEFT(E58,LEN("No"))="No"</formula>
    </cfRule>
    <cfRule type="beginsWith" dxfId="44" priority="13" operator="beginsWith" text="Ok">
      <formula>LEFT(E58,LEN("Ok"))="Ok"</formula>
    </cfRule>
  </conditionalFormatting>
  <conditionalFormatting sqref="H29:H33">
    <cfRule type="expression" dxfId="43" priority="2">
      <formula>ISBLANK($B29)</formula>
    </cfRule>
  </conditionalFormatting>
  <conditionalFormatting sqref="H22:J22">
    <cfRule type="expression" dxfId="42" priority="1">
      <formula>ISBLANK($B22)</formula>
    </cfRule>
  </conditionalFormatting>
  <conditionalFormatting sqref="H23:J26">
    <cfRule type="expression" dxfId="41" priority="33">
      <formula>ISBLANK($G23)</formula>
    </cfRule>
  </conditionalFormatting>
  <conditionalFormatting sqref="J29:J33">
    <cfRule type="expression" dxfId="40" priority="32">
      <formula>ISBLANK($G29)</formula>
    </cfRule>
  </conditionalFormatting>
  <conditionalFormatting sqref="J42">
    <cfRule type="beginsWith" dxfId="39" priority="25" operator="beginsWith" text="No">
      <formula>LEFT(J42,LEN("No"))="No"</formula>
    </cfRule>
    <cfRule type="beginsWith" dxfId="38" priority="26" operator="beginsWith" text="Ok">
      <formula>LEFT(J42,LEN("Ok"))="Ok"</formula>
    </cfRule>
  </conditionalFormatting>
  <conditionalFormatting sqref="J58">
    <cfRule type="beginsWith" dxfId="37" priority="10" operator="beginsWith" text="No">
      <formula>LEFT(J58,LEN("No"))="No"</formula>
    </cfRule>
    <cfRule type="beginsWith" dxfId="36" priority="11" operator="beginsWith" text="Ok">
      <formula>LEFT(J58,LEN("Ok"))="Ok"</formula>
    </cfRule>
  </conditionalFormatting>
  <dataValidations count="1">
    <dataValidation type="list" allowBlank="1" showInputMessage="1" showErrorMessage="1" sqref="E8:E9 J19 E19 E12:E14 J49:J50 E71 J71 E47:E51" xr:uid="{00000000-0002-0000-0500-000000000000}">
      <formula1>"Yes, 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outlinePr showOutlineSymbols="0"/>
  </sheetPr>
  <dimension ref="A1:K66"/>
  <sheetViews>
    <sheetView showZeros="0" showOutlineSymbols="0" zoomScale="85" zoomScaleNormal="85" workbookViewId="0">
      <selection activeCell="F12" sqref="F12"/>
    </sheetView>
  </sheetViews>
  <sheetFormatPr defaultColWidth="11.42578125" defaultRowHeight="12.75"/>
  <cols>
    <col min="1" max="1" width="5.42578125" style="2" customWidth="1"/>
    <col min="2" max="4" width="30.7109375" style="2" customWidth="1"/>
    <col min="5" max="5" width="20.28515625" style="2" bestFit="1" customWidth="1"/>
    <col min="6" max="6" width="20.28515625" style="2" customWidth="1"/>
    <col min="7" max="8" width="20.7109375" style="2" customWidth="1"/>
    <col min="9" max="9" width="23" style="2" customWidth="1"/>
    <col min="10" max="10" width="3" style="2" customWidth="1"/>
    <col min="11" max="11" width="12.140625" style="2" customWidth="1"/>
    <col min="12" max="16384" width="11.42578125" style="2"/>
  </cols>
  <sheetData>
    <row r="1" spans="1:11">
      <c r="B1" s="321" t="s">
        <v>356</v>
      </c>
      <c r="C1" s="322"/>
      <c r="D1" s="322"/>
      <c r="E1" s="98"/>
    </row>
    <row r="2" spans="1:11">
      <c r="B2" s="96" t="s">
        <v>229</v>
      </c>
      <c r="C2" s="334" t="str">
        <f>'Product formulation'!C2</f>
        <v/>
      </c>
      <c r="D2" s="334"/>
      <c r="E2" s="24"/>
    </row>
    <row r="3" spans="1:11">
      <c r="B3" s="96" t="s">
        <v>9</v>
      </c>
      <c r="C3" s="334" t="str">
        <f>'Product formulation'!C3</f>
        <v>Rinse-off product</v>
      </c>
      <c r="D3" s="334"/>
      <c r="E3" s="24"/>
    </row>
    <row r="4" spans="1:11">
      <c r="B4" s="97" t="s">
        <v>257</v>
      </c>
      <c r="C4" s="334" t="str">
        <f>'Product formulation'!C4</f>
        <v>Animal care product</v>
      </c>
      <c r="D4" s="334"/>
      <c r="E4" s="24"/>
    </row>
    <row r="6" spans="1:11" s="132" customFormat="1" ht="15.75">
      <c r="A6" s="132" t="s">
        <v>355</v>
      </c>
    </row>
    <row r="8" spans="1:11" s="1" customFormat="1" ht="25.5">
      <c r="A8" s="4"/>
      <c r="B8" s="320" t="s">
        <v>302</v>
      </c>
      <c r="C8" s="320" t="s">
        <v>0</v>
      </c>
      <c r="D8" s="320" t="s">
        <v>12</v>
      </c>
      <c r="E8" s="128" t="s">
        <v>17</v>
      </c>
      <c r="F8" s="128" t="s">
        <v>308</v>
      </c>
      <c r="G8" s="331" t="s">
        <v>248</v>
      </c>
      <c r="H8" s="333"/>
      <c r="I8" s="324" t="s">
        <v>253</v>
      </c>
      <c r="J8" s="2"/>
      <c r="K8" s="142"/>
    </row>
    <row r="9" spans="1:11" s="1" customFormat="1" ht="33.75">
      <c r="A9" s="4"/>
      <c r="B9" s="320"/>
      <c r="C9" s="320"/>
      <c r="D9" s="320"/>
      <c r="E9" s="133" t="s">
        <v>7</v>
      </c>
      <c r="F9" s="133" t="s">
        <v>14</v>
      </c>
      <c r="G9" s="133" t="s">
        <v>14</v>
      </c>
      <c r="H9" s="134" t="s">
        <v>351</v>
      </c>
      <c r="I9" s="325"/>
      <c r="J9" s="2"/>
      <c r="K9" s="2"/>
    </row>
    <row r="10" spans="1:11">
      <c r="A10" s="5">
        <v>1</v>
      </c>
      <c r="B10" s="15" t="s">
        <v>11</v>
      </c>
      <c r="C10" s="15"/>
      <c r="D10" s="15"/>
      <c r="E10" s="15">
        <f>'Rinse-off - DID'!G10</f>
        <v>0</v>
      </c>
      <c r="F10" s="7"/>
      <c r="G10" s="7"/>
      <c r="H10" s="7"/>
      <c r="I10" s="7"/>
    </row>
    <row r="11" spans="1:11">
      <c r="A11" s="5">
        <v>2</v>
      </c>
      <c r="B11" s="6" t="str">
        <f>IF(D11="","",VLOOKUP(D11,'Ingoing substances'!$B$11:$C$59,2,FALSE))</f>
        <v/>
      </c>
      <c r="C11" s="6" t="str">
        <f>IF(D11="","",VLOOKUP(B11,'Product formulation'!$B$9:$C$37,2,FALSE))</f>
        <v/>
      </c>
      <c r="D11" s="6" t="str">
        <f>IF('Ingoing substances'!W11="Yes",'Rinse-off - DID'!B11,"")</f>
        <v/>
      </c>
      <c r="E11" s="15" t="str">
        <f>IF('Ingoing substances'!W11="Yes",'Rinse-off - DID'!G11,"")</f>
        <v/>
      </c>
      <c r="F11" s="8"/>
      <c r="G11" s="7"/>
      <c r="H11" s="15" t="str">
        <f>IF(AND(OR(F11="Palm oil",F11="Palm kernel oil"),G11="Mass balance"),"Certified before 2025","")</f>
        <v/>
      </c>
      <c r="I11" s="9"/>
    </row>
    <row r="12" spans="1:11">
      <c r="A12" s="5">
        <v>3</v>
      </c>
      <c r="B12" s="6" t="str">
        <f>IF(D12="","",VLOOKUP(D12,'Ingoing substances'!$B$11:$C$59,2,FALSE))</f>
        <v/>
      </c>
      <c r="C12" s="6" t="str">
        <f>IF(D12="","",VLOOKUP(B12,'Product formulation'!$B$9:$C$37,2,FALSE))</f>
        <v/>
      </c>
      <c r="D12" s="6" t="str">
        <f>IF('Ingoing substances'!W12="Yes",'Rinse-off - DID'!B12,"")</f>
        <v/>
      </c>
      <c r="E12" s="15" t="str">
        <f>IF('Ingoing substances'!W12="Yes",'Rinse-off - DID'!G12,"")</f>
        <v/>
      </c>
      <c r="F12" s="7"/>
      <c r="G12" s="7"/>
      <c r="H12" s="15" t="str">
        <f t="shared" ref="H12:H59" si="0">IF(AND(OR(F12="Palm oil",F12="Palm kernel oil"),G12="Mass balance"),"Certified before 2025","")</f>
        <v/>
      </c>
      <c r="I12" s="9"/>
    </row>
    <row r="13" spans="1:11">
      <c r="A13" s="5">
        <v>4</v>
      </c>
      <c r="B13" s="6" t="str">
        <f>IF(D13="","",VLOOKUP(D13,'Ingoing substances'!$B$11:$C$59,2,FALSE))</f>
        <v/>
      </c>
      <c r="C13" s="6" t="str">
        <f>IF(D13="","",VLOOKUP(B13,'Product formulation'!$B$9:$C$37,2,FALSE))</f>
        <v/>
      </c>
      <c r="D13" s="6" t="str">
        <f>IF('Ingoing substances'!W13="Yes",'Rinse-off - DID'!B13,"")</f>
        <v/>
      </c>
      <c r="E13" s="15" t="str">
        <f>IF('Ingoing substances'!W13="Yes",'Rinse-off - DID'!G13,"")</f>
        <v/>
      </c>
      <c r="F13" s="7"/>
      <c r="G13" s="7"/>
      <c r="H13" s="15" t="str">
        <f t="shared" si="0"/>
        <v/>
      </c>
      <c r="I13" s="9"/>
    </row>
    <row r="14" spans="1:11">
      <c r="A14" s="5">
        <v>5</v>
      </c>
      <c r="B14" s="6" t="str">
        <f>IF(D14="","",VLOOKUP(D14,'Ingoing substances'!$B$11:$C$59,2,FALSE))</f>
        <v/>
      </c>
      <c r="C14" s="6" t="str">
        <f>IF(D14="","",VLOOKUP(B14,'Product formulation'!$B$9:$C$37,2,FALSE))</f>
        <v/>
      </c>
      <c r="D14" s="6" t="str">
        <f>IF('Ingoing substances'!W14="Yes",'Rinse-off - DID'!B14,"")</f>
        <v/>
      </c>
      <c r="E14" s="15" t="str">
        <f>IF('Ingoing substances'!W14="Yes",'Rinse-off - DID'!G14,"")</f>
        <v/>
      </c>
      <c r="F14" s="7"/>
      <c r="G14" s="7"/>
      <c r="H14" s="15" t="str">
        <f t="shared" si="0"/>
        <v/>
      </c>
      <c r="I14" s="9"/>
    </row>
    <row r="15" spans="1:11">
      <c r="A15" s="5">
        <v>6</v>
      </c>
      <c r="B15" s="6" t="str">
        <f>IF(D15="","",VLOOKUP(D15,'Ingoing substances'!$B$11:$C$59,2,FALSE))</f>
        <v/>
      </c>
      <c r="C15" s="6" t="str">
        <f>IF(D15="","",VLOOKUP(B15,'Product formulation'!$B$9:$C$37,2,FALSE))</f>
        <v/>
      </c>
      <c r="D15" s="6" t="str">
        <f>IF('Ingoing substances'!W15="Yes",'Rinse-off - DID'!B15,"")</f>
        <v/>
      </c>
      <c r="E15" s="15" t="str">
        <f>IF('Ingoing substances'!W15="Yes",'Rinse-off - DID'!G15,"")</f>
        <v/>
      </c>
      <c r="F15" s="7"/>
      <c r="G15" s="7"/>
      <c r="H15" s="15" t="str">
        <f t="shared" si="0"/>
        <v/>
      </c>
      <c r="I15" s="9"/>
    </row>
    <row r="16" spans="1:11">
      <c r="A16" s="5">
        <v>7</v>
      </c>
      <c r="B16" s="6" t="str">
        <f>IF(D16="","",VLOOKUP(D16,'Ingoing substances'!$B$11:$C$59,2,FALSE))</f>
        <v/>
      </c>
      <c r="C16" s="6" t="str">
        <f>IF(D16="","",VLOOKUP(B16,'Product formulation'!$B$9:$C$37,2,FALSE))</f>
        <v/>
      </c>
      <c r="D16" s="6" t="str">
        <f>IF('Ingoing substances'!W16="Yes",'Rinse-off - DID'!B16,"")</f>
        <v/>
      </c>
      <c r="E16" s="15" t="str">
        <f>IF('Ingoing substances'!W16="Yes",'Rinse-off - DID'!G16,"")</f>
        <v/>
      </c>
      <c r="F16" s="7"/>
      <c r="G16" s="7"/>
      <c r="H16" s="15" t="str">
        <f t="shared" si="0"/>
        <v/>
      </c>
      <c r="I16" s="9"/>
    </row>
    <row r="17" spans="1:9">
      <c r="A17" s="5">
        <v>8</v>
      </c>
      <c r="B17" s="6" t="str">
        <f>IF(D17="","",VLOOKUP(D17,'Ingoing substances'!$B$11:$C$59,2,FALSE))</f>
        <v/>
      </c>
      <c r="C17" s="6" t="str">
        <f>IF(D17="","",VLOOKUP(B17,'Product formulation'!$B$9:$C$37,2,FALSE))</f>
        <v/>
      </c>
      <c r="D17" s="6" t="str">
        <f>IF('Ingoing substances'!W17="Yes",'Rinse-off - DID'!B17,"")</f>
        <v/>
      </c>
      <c r="E17" s="15" t="str">
        <f>IF('Ingoing substances'!W17="Yes",'Rinse-off - DID'!G17,"")</f>
        <v/>
      </c>
      <c r="F17" s="7"/>
      <c r="G17" s="7"/>
      <c r="H17" s="15" t="str">
        <f t="shared" si="0"/>
        <v/>
      </c>
      <c r="I17" s="9"/>
    </row>
    <row r="18" spans="1:9">
      <c r="A18" s="5">
        <v>9</v>
      </c>
      <c r="B18" s="6" t="str">
        <f>IF(D18="","",VLOOKUP(D18,'Ingoing substances'!$B$11:$C$59,2,FALSE))</f>
        <v/>
      </c>
      <c r="C18" s="6" t="str">
        <f>IF(D18="","",VLOOKUP(B18,'Product formulation'!$B$9:$C$37,2,FALSE))</f>
        <v/>
      </c>
      <c r="D18" s="6" t="str">
        <f>IF('Ingoing substances'!W18="Yes",'Rinse-off - DID'!B18,"")</f>
        <v/>
      </c>
      <c r="E18" s="15" t="str">
        <f>IF('Ingoing substances'!W18="Yes",'Rinse-off - DID'!G18,"")</f>
        <v/>
      </c>
      <c r="F18" s="7"/>
      <c r="G18" s="7"/>
      <c r="H18" s="15" t="str">
        <f t="shared" si="0"/>
        <v/>
      </c>
      <c r="I18" s="9"/>
    </row>
    <row r="19" spans="1:9">
      <c r="A19" s="5">
        <v>10</v>
      </c>
      <c r="B19" s="6" t="str">
        <f>IF(D19="","",VLOOKUP(D19,'Ingoing substances'!$B$11:$C$59,2,FALSE))</f>
        <v/>
      </c>
      <c r="C19" s="6" t="str">
        <f>IF(D19="","",VLOOKUP(B19,'Product formulation'!$B$9:$C$37,2,FALSE))</f>
        <v/>
      </c>
      <c r="D19" s="6" t="str">
        <f>IF('Ingoing substances'!W19="Yes",'Rinse-off - DID'!B19,"")</f>
        <v/>
      </c>
      <c r="E19" s="15" t="str">
        <f>IF('Ingoing substances'!W19="Yes",'Rinse-off - DID'!G19,"")</f>
        <v/>
      </c>
      <c r="F19" s="7"/>
      <c r="G19" s="7"/>
      <c r="H19" s="15" t="str">
        <f t="shared" si="0"/>
        <v/>
      </c>
      <c r="I19" s="9"/>
    </row>
    <row r="20" spans="1:9">
      <c r="A20" s="5">
        <v>11</v>
      </c>
      <c r="B20" s="6" t="str">
        <f>IF(D20="","",VLOOKUP(D20,'Ingoing substances'!$B$11:$C$59,2,FALSE))</f>
        <v/>
      </c>
      <c r="C20" s="6" t="str">
        <f>IF(D20="","",VLOOKUP(B20,'Product formulation'!$B$9:$C$37,2,FALSE))</f>
        <v/>
      </c>
      <c r="D20" s="6" t="str">
        <f>IF('Ingoing substances'!W20="Yes",'Rinse-off - DID'!B20,"")</f>
        <v/>
      </c>
      <c r="E20" s="15" t="str">
        <f>IF('Ingoing substances'!W20="Yes",'Rinse-off - DID'!G20,"")</f>
        <v/>
      </c>
      <c r="F20" s="7"/>
      <c r="G20" s="7"/>
      <c r="H20" s="15" t="str">
        <f t="shared" si="0"/>
        <v/>
      </c>
      <c r="I20" s="9"/>
    </row>
    <row r="21" spans="1:9">
      <c r="A21" s="5">
        <v>12</v>
      </c>
      <c r="B21" s="6" t="str">
        <f>IF(D21="","",VLOOKUP(D21,'Ingoing substances'!$B$11:$C$59,2,FALSE))</f>
        <v/>
      </c>
      <c r="C21" s="6" t="str">
        <f>IF(D21="","",VLOOKUP(B21,'Product formulation'!$B$9:$C$37,2,FALSE))</f>
        <v/>
      </c>
      <c r="D21" s="6" t="str">
        <f>IF('Ingoing substances'!W21="Yes",'Rinse-off - DID'!B21,"")</f>
        <v/>
      </c>
      <c r="E21" s="15" t="str">
        <f>IF('Ingoing substances'!W21="Yes",'Rinse-off - DID'!G21,"")</f>
        <v/>
      </c>
      <c r="F21" s="7"/>
      <c r="G21" s="7"/>
      <c r="H21" s="15" t="str">
        <f t="shared" si="0"/>
        <v/>
      </c>
      <c r="I21" s="9"/>
    </row>
    <row r="22" spans="1:9">
      <c r="A22" s="5">
        <v>13</v>
      </c>
      <c r="B22" s="6" t="str">
        <f>IF(D22="","",VLOOKUP(D22,'Ingoing substances'!$B$11:$C$59,2,FALSE))</f>
        <v/>
      </c>
      <c r="C22" s="6" t="str">
        <f>IF(D22="","",VLOOKUP(B22,'Product formulation'!$B$9:$C$37,2,FALSE))</f>
        <v/>
      </c>
      <c r="D22" s="6" t="str">
        <f>IF('Ingoing substances'!W22="Yes",'Rinse-off - DID'!B22,"")</f>
        <v/>
      </c>
      <c r="E22" s="15" t="str">
        <f>IF('Ingoing substances'!W22="Yes",'Rinse-off - DID'!G22,"")</f>
        <v/>
      </c>
      <c r="F22" s="7"/>
      <c r="G22" s="7"/>
      <c r="H22" s="15" t="str">
        <f t="shared" si="0"/>
        <v/>
      </c>
      <c r="I22" s="9"/>
    </row>
    <row r="23" spans="1:9">
      <c r="A23" s="5">
        <v>14</v>
      </c>
      <c r="B23" s="6" t="str">
        <f>IF(D23="","",VLOOKUP(D23,'Ingoing substances'!$B$11:$C$59,2,FALSE))</f>
        <v/>
      </c>
      <c r="C23" s="6" t="str">
        <f>IF(D23="","",VLOOKUP(B23,'Product formulation'!$B$9:$C$37,2,FALSE))</f>
        <v/>
      </c>
      <c r="D23" s="6" t="str">
        <f>IF('Ingoing substances'!W23="Yes",'Rinse-off - DID'!B23,"")</f>
        <v/>
      </c>
      <c r="E23" s="15" t="str">
        <f>IF('Ingoing substances'!W23="Yes",'Rinse-off - DID'!G23,"")</f>
        <v/>
      </c>
      <c r="F23" s="7"/>
      <c r="G23" s="7"/>
      <c r="H23" s="15" t="str">
        <f t="shared" si="0"/>
        <v/>
      </c>
      <c r="I23" s="9"/>
    </row>
    <row r="24" spans="1:9">
      <c r="A24" s="5">
        <v>15</v>
      </c>
      <c r="B24" s="6" t="str">
        <f>IF(D24="","",VLOOKUP(D24,'Ingoing substances'!$B$11:$C$59,2,FALSE))</f>
        <v/>
      </c>
      <c r="C24" s="6" t="str">
        <f>IF(D24="","",VLOOKUP(B24,'Product formulation'!$B$9:$C$37,2,FALSE))</f>
        <v/>
      </c>
      <c r="D24" s="6" t="str">
        <f>IF('Ingoing substances'!W24="Yes",'Rinse-off - DID'!B24,"")</f>
        <v/>
      </c>
      <c r="E24" s="15" t="str">
        <f>IF('Ingoing substances'!W24="Yes",'Rinse-off - DID'!G24,"")</f>
        <v/>
      </c>
      <c r="F24" s="7"/>
      <c r="G24" s="7"/>
      <c r="H24" s="15" t="str">
        <f t="shared" si="0"/>
        <v/>
      </c>
      <c r="I24" s="9"/>
    </row>
    <row r="25" spans="1:9">
      <c r="A25" s="5">
        <v>16</v>
      </c>
      <c r="B25" s="6" t="str">
        <f>IF(D25="","",VLOOKUP(D25,'Ingoing substances'!$B$11:$C$59,2,FALSE))</f>
        <v/>
      </c>
      <c r="C25" s="6" t="str">
        <f>IF(D25="","",VLOOKUP(B25,'Product formulation'!$B$9:$C$37,2,FALSE))</f>
        <v/>
      </c>
      <c r="D25" s="6" t="str">
        <f>IF('Ingoing substances'!W25="Yes",'Rinse-off - DID'!B25,"")</f>
        <v/>
      </c>
      <c r="E25" s="15" t="str">
        <f>IF('Ingoing substances'!W25="Yes",'Rinse-off - DID'!G25,"")</f>
        <v/>
      </c>
      <c r="F25" s="7"/>
      <c r="G25" s="7"/>
      <c r="H25" s="15" t="str">
        <f t="shared" si="0"/>
        <v/>
      </c>
      <c r="I25" s="9"/>
    </row>
    <row r="26" spans="1:9">
      <c r="A26" s="5">
        <v>17</v>
      </c>
      <c r="B26" s="6" t="str">
        <f>IF(D26="","",VLOOKUP(D26,'Ingoing substances'!$B$11:$C$59,2,FALSE))</f>
        <v/>
      </c>
      <c r="C26" s="6" t="str">
        <f>IF(D26="","",VLOOKUP(B26,'Product formulation'!$B$9:$C$37,2,FALSE))</f>
        <v/>
      </c>
      <c r="D26" s="6" t="str">
        <f>IF('Ingoing substances'!W26="Yes",'Rinse-off - DID'!B26,"")</f>
        <v/>
      </c>
      <c r="E26" s="15" t="str">
        <f>IF('Ingoing substances'!W26="Yes",'Rinse-off - DID'!G26,"")</f>
        <v/>
      </c>
      <c r="F26" s="7"/>
      <c r="G26" s="7"/>
      <c r="H26" s="15" t="str">
        <f t="shared" si="0"/>
        <v/>
      </c>
      <c r="I26" s="9"/>
    </row>
    <row r="27" spans="1:9">
      <c r="A27" s="5">
        <v>18</v>
      </c>
      <c r="B27" s="6" t="str">
        <f>IF(D27="","",VLOOKUP(D27,'Ingoing substances'!$B$11:$C$59,2,FALSE))</f>
        <v/>
      </c>
      <c r="C27" s="6" t="str">
        <f>IF(D27="","",VLOOKUP(B27,'Product formulation'!$B$9:$C$37,2,FALSE))</f>
        <v/>
      </c>
      <c r="D27" s="6" t="str">
        <f>IF('Ingoing substances'!W27="Yes",'Rinse-off - DID'!B27,"")</f>
        <v/>
      </c>
      <c r="E27" s="15" t="str">
        <f>IF('Ingoing substances'!W27="Yes",'Rinse-off - DID'!G27,"")</f>
        <v/>
      </c>
      <c r="F27" s="7"/>
      <c r="G27" s="7"/>
      <c r="H27" s="15" t="str">
        <f t="shared" si="0"/>
        <v/>
      </c>
      <c r="I27" s="9"/>
    </row>
    <row r="28" spans="1:9">
      <c r="A28" s="5">
        <v>19</v>
      </c>
      <c r="B28" s="6" t="str">
        <f>IF(D28="","",VLOOKUP(D28,'Ingoing substances'!$B$11:$C$59,2,FALSE))</f>
        <v/>
      </c>
      <c r="C28" s="6" t="str">
        <f>IF(D28="","",VLOOKUP(B28,'Product formulation'!$B$9:$C$37,2,FALSE))</f>
        <v/>
      </c>
      <c r="D28" s="6" t="str">
        <f>IF('Ingoing substances'!W28="Yes",'Rinse-off - DID'!B28,"")</f>
        <v/>
      </c>
      <c r="E28" s="15" t="str">
        <f>IF('Ingoing substances'!W28="Yes",'Rinse-off - DID'!G28,"")</f>
        <v/>
      </c>
      <c r="F28" s="7"/>
      <c r="G28" s="7"/>
      <c r="H28" s="15" t="str">
        <f t="shared" si="0"/>
        <v/>
      </c>
      <c r="I28" s="9"/>
    </row>
    <row r="29" spans="1:9">
      <c r="A29" s="5">
        <v>20</v>
      </c>
      <c r="B29" s="6" t="str">
        <f>IF(D29="","",VLOOKUP(D29,'Ingoing substances'!$B$11:$C$59,2,FALSE))</f>
        <v/>
      </c>
      <c r="C29" s="6" t="str">
        <f>IF(D29="","",VLOOKUP(B29,'Product formulation'!$B$9:$C$37,2,FALSE))</f>
        <v/>
      </c>
      <c r="D29" s="6" t="str">
        <f>IF('Ingoing substances'!W29="Yes",'Rinse-off - DID'!B29,"")</f>
        <v/>
      </c>
      <c r="E29" s="15" t="str">
        <f>IF('Ingoing substances'!W29="Yes",'Rinse-off - DID'!G29,"")</f>
        <v/>
      </c>
      <c r="F29" s="7"/>
      <c r="G29" s="7"/>
      <c r="H29" s="15" t="str">
        <f t="shared" si="0"/>
        <v/>
      </c>
      <c r="I29" s="9"/>
    </row>
    <row r="30" spans="1:9">
      <c r="A30" s="5">
        <v>21</v>
      </c>
      <c r="B30" s="6" t="str">
        <f>IF(D30="","",VLOOKUP(D30,'Ingoing substances'!$B$11:$C$59,2,FALSE))</f>
        <v/>
      </c>
      <c r="C30" s="6" t="str">
        <f>IF(D30="","",VLOOKUP(B30,'Product formulation'!$B$9:$C$37,2,FALSE))</f>
        <v/>
      </c>
      <c r="D30" s="6" t="str">
        <f>IF('Ingoing substances'!W30="Yes",'Rinse-off - DID'!B30,"")</f>
        <v/>
      </c>
      <c r="E30" s="15" t="str">
        <f>IF('Ingoing substances'!W30="Yes",'Rinse-off - DID'!G30,"")</f>
        <v/>
      </c>
      <c r="F30" s="7"/>
      <c r="G30" s="7"/>
      <c r="H30" s="15" t="str">
        <f t="shared" si="0"/>
        <v/>
      </c>
      <c r="I30" s="9"/>
    </row>
    <row r="31" spans="1:9">
      <c r="A31" s="5">
        <v>22</v>
      </c>
      <c r="B31" s="6" t="str">
        <f>IF(D31="","",VLOOKUP(D31,'Ingoing substances'!$B$11:$C$59,2,FALSE))</f>
        <v/>
      </c>
      <c r="C31" s="6" t="str">
        <f>IF(D31="","",VLOOKUP(B31,'Product formulation'!$B$9:$C$37,2,FALSE))</f>
        <v/>
      </c>
      <c r="D31" s="6" t="str">
        <f>IF('Ingoing substances'!W31="Yes",'Rinse-off - DID'!B31,"")</f>
        <v/>
      </c>
      <c r="E31" s="15" t="str">
        <f>IF('Ingoing substances'!W31="Yes",'Rinse-off - DID'!G31,"")</f>
        <v/>
      </c>
      <c r="F31" s="7"/>
      <c r="G31" s="7"/>
      <c r="H31" s="15" t="str">
        <f t="shared" si="0"/>
        <v/>
      </c>
      <c r="I31" s="9"/>
    </row>
    <row r="32" spans="1:9">
      <c r="A32" s="5">
        <v>23</v>
      </c>
      <c r="B32" s="6" t="str">
        <f>IF(D32="","",VLOOKUP(D32,'Ingoing substances'!$B$11:$C$59,2,FALSE))</f>
        <v/>
      </c>
      <c r="C32" s="6" t="str">
        <f>IF(D32="","",VLOOKUP(B32,'Product formulation'!$B$9:$C$37,2,FALSE))</f>
        <v/>
      </c>
      <c r="D32" s="6" t="str">
        <f>IF('Ingoing substances'!W32="Yes",'Rinse-off - DID'!B32,"")</f>
        <v/>
      </c>
      <c r="E32" s="15" t="str">
        <f>IF('Ingoing substances'!W32="Yes",'Rinse-off - DID'!G32,"")</f>
        <v/>
      </c>
      <c r="F32" s="7"/>
      <c r="G32" s="7"/>
      <c r="H32" s="15" t="str">
        <f t="shared" si="0"/>
        <v/>
      </c>
      <c r="I32" s="9"/>
    </row>
    <row r="33" spans="1:9">
      <c r="A33" s="5">
        <v>24</v>
      </c>
      <c r="B33" s="6" t="str">
        <f>IF(D33="","",VLOOKUP(D33,'Ingoing substances'!$B$11:$C$59,2,FALSE))</f>
        <v/>
      </c>
      <c r="C33" s="6" t="str">
        <f>IF(D33="","",VLOOKUP(B33,'Product formulation'!$B$9:$C$37,2,FALSE))</f>
        <v/>
      </c>
      <c r="D33" s="6" t="str">
        <f>IF('Ingoing substances'!W33="Yes",'Rinse-off - DID'!B33,"")</f>
        <v/>
      </c>
      <c r="E33" s="15" t="str">
        <f>IF('Ingoing substances'!W33="Yes",'Rinse-off - DID'!G33,"")</f>
        <v/>
      </c>
      <c r="F33" s="7"/>
      <c r="G33" s="7"/>
      <c r="H33" s="15" t="str">
        <f t="shared" si="0"/>
        <v/>
      </c>
      <c r="I33" s="9"/>
    </row>
    <row r="34" spans="1:9">
      <c r="A34" s="5">
        <v>25</v>
      </c>
      <c r="B34" s="6" t="str">
        <f>IF(D34="","",VLOOKUP(D34,'Ingoing substances'!$B$11:$C$59,2,FALSE))</f>
        <v/>
      </c>
      <c r="C34" s="6" t="str">
        <f>IF(D34="","",VLOOKUP(B34,'Product formulation'!$B$9:$C$37,2,FALSE))</f>
        <v/>
      </c>
      <c r="D34" s="6" t="str">
        <f>IF('Ingoing substances'!W34="Yes",'Rinse-off - DID'!B34,"")</f>
        <v/>
      </c>
      <c r="E34" s="15" t="str">
        <f>IF('Ingoing substances'!W34="Yes",'Rinse-off - DID'!G34,"")</f>
        <v/>
      </c>
      <c r="F34" s="7"/>
      <c r="G34" s="7"/>
      <c r="H34" s="15" t="str">
        <f t="shared" si="0"/>
        <v/>
      </c>
      <c r="I34" s="9"/>
    </row>
    <row r="35" spans="1:9">
      <c r="A35" s="5">
        <v>26</v>
      </c>
      <c r="B35" s="6" t="str">
        <f>IF(D35="","",VLOOKUP(D35,'Ingoing substances'!$B$11:$C$59,2,FALSE))</f>
        <v/>
      </c>
      <c r="C35" s="6" t="str">
        <f>IF(D35="","",VLOOKUP(B35,'Product formulation'!$B$9:$C$37,2,FALSE))</f>
        <v/>
      </c>
      <c r="D35" s="6" t="str">
        <f>IF('Ingoing substances'!W35="Yes",'Rinse-off - DID'!B35,"")</f>
        <v/>
      </c>
      <c r="E35" s="15" t="str">
        <f>IF('Ingoing substances'!W35="Yes",'Rinse-off - DID'!G35,"")</f>
        <v/>
      </c>
      <c r="F35" s="7"/>
      <c r="G35" s="7"/>
      <c r="H35" s="15" t="str">
        <f t="shared" si="0"/>
        <v/>
      </c>
      <c r="I35" s="9"/>
    </row>
    <row r="36" spans="1:9">
      <c r="A36" s="5">
        <v>27</v>
      </c>
      <c r="B36" s="6" t="str">
        <f>IF(D36="","",VLOOKUP(D36,'Ingoing substances'!$B$11:$C$59,2,FALSE))</f>
        <v/>
      </c>
      <c r="C36" s="6" t="str">
        <f>IF(D36="","",VLOOKUP(B36,'Product formulation'!$B$9:$C$37,2,FALSE))</f>
        <v/>
      </c>
      <c r="D36" s="6" t="str">
        <f>IF('Ingoing substances'!W36="Yes",'Rinse-off - DID'!B36,"")</f>
        <v/>
      </c>
      <c r="E36" s="15" t="str">
        <f>IF('Ingoing substances'!W36="Yes",'Rinse-off - DID'!G36,"")</f>
        <v/>
      </c>
      <c r="F36" s="7"/>
      <c r="G36" s="7"/>
      <c r="H36" s="15" t="str">
        <f t="shared" si="0"/>
        <v/>
      </c>
      <c r="I36" s="9"/>
    </row>
    <row r="37" spans="1:9">
      <c r="A37" s="5">
        <v>28</v>
      </c>
      <c r="B37" s="6" t="str">
        <f>IF(D37="","",VLOOKUP(D37,'Ingoing substances'!$B$11:$C$59,2,FALSE))</f>
        <v/>
      </c>
      <c r="C37" s="6" t="str">
        <f>IF(D37="","",VLOOKUP(B37,'Product formulation'!$B$9:$C$37,2,FALSE))</f>
        <v/>
      </c>
      <c r="D37" s="6" t="str">
        <f>IF('Ingoing substances'!W37="Yes",'Rinse-off - DID'!B37,"")</f>
        <v/>
      </c>
      <c r="E37" s="15" t="str">
        <f>IF('Ingoing substances'!W37="Yes",'Rinse-off - DID'!G37,"")</f>
        <v/>
      </c>
      <c r="F37" s="7"/>
      <c r="G37" s="7"/>
      <c r="H37" s="15" t="str">
        <f t="shared" si="0"/>
        <v/>
      </c>
      <c r="I37" s="9"/>
    </row>
    <row r="38" spans="1:9">
      <c r="A38" s="5">
        <v>29</v>
      </c>
      <c r="B38" s="6" t="str">
        <f>IF(D38="","",VLOOKUP(D38,'Ingoing substances'!$B$11:$C$59,2,FALSE))</f>
        <v/>
      </c>
      <c r="C38" s="6" t="str">
        <f>IF(D38="","",VLOOKUP(B38,'Product formulation'!$B$9:$C$37,2,FALSE))</f>
        <v/>
      </c>
      <c r="D38" s="6" t="str">
        <f>IF('Ingoing substances'!W38="Yes",'Rinse-off - DID'!B38,"")</f>
        <v/>
      </c>
      <c r="E38" s="15" t="str">
        <f>IF('Ingoing substances'!W38="Yes",'Rinse-off - DID'!G38,"")</f>
        <v/>
      </c>
      <c r="F38" s="7"/>
      <c r="G38" s="7"/>
      <c r="H38" s="15" t="str">
        <f t="shared" si="0"/>
        <v/>
      </c>
      <c r="I38" s="9"/>
    </row>
    <row r="39" spans="1:9">
      <c r="A39" s="5">
        <v>30</v>
      </c>
      <c r="B39" s="6" t="str">
        <f>IF(D39="","",VLOOKUP(D39,'Ingoing substances'!$B$11:$C$59,2,FALSE))</f>
        <v/>
      </c>
      <c r="C39" s="6" t="str">
        <f>IF(D39="","",VLOOKUP(B39,'Product formulation'!$B$9:$C$37,2,FALSE))</f>
        <v/>
      </c>
      <c r="D39" s="6" t="str">
        <f>IF('Ingoing substances'!W39="Yes",'Rinse-off - DID'!B39,"")</f>
        <v/>
      </c>
      <c r="E39" s="15" t="str">
        <f>IF('Ingoing substances'!W39="Yes",'Rinse-off - DID'!G39,"")</f>
        <v/>
      </c>
      <c r="F39" s="7"/>
      <c r="G39" s="7"/>
      <c r="H39" s="15" t="str">
        <f t="shared" si="0"/>
        <v/>
      </c>
      <c r="I39" s="9"/>
    </row>
    <row r="40" spans="1:9">
      <c r="A40" s="5">
        <v>31</v>
      </c>
      <c r="B40" s="6" t="str">
        <f>IF(D40="","",VLOOKUP(D40,'Ingoing substances'!$B$11:$C$59,2,FALSE))</f>
        <v/>
      </c>
      <c r="C40" s="6" t="str">
        <f>IF(D40="","",VLOOKUP(B40,'Product formulation'!$B$9:$C$37,2,FALSE))</f>
        <v/>
      </c>
      <c r="D40" s="6" t="str">
        <f>IF('Ingoing substances'!W40="Yes",'Rinse-off - DID'!B40,"")</f>
        <v/>
      </c>
      <c r="E40" s="15" t="str">
        <f>IF('Ingoing substances'!W40="Yes",'Rinse-off - DID'!G40,"")</f>
        <v/>
      </c>
      <c r="F40" s="7"/>
      <c r="G40" s="7"/>
      <c r="H40" s="15" t="str">
        <f t="shared" si="0"/>
        <v/>
      </c>
      <c r="I40" s="9"/>
    </row>
    <row r="41" spans="1:9">
      <c r="A41" s="5">
        <v>32</v>
      </c>
      <c r="B41" s="6" t="str">
        <f>IF(D41="","",VLOOKUP(D41,'Ingoing substances'!$B$11:$C$59,2,FALSE))</f>
        <v/>
      </c>
      <c r="C41" s="6" t="str">
        <f>IF(D41="","",VLOOKUP(B41,'Product formulation'!$B$9:$C$37,2,FALSE))</f>
        <v/>
      </c>
      <c r="D41" s="6" t="str">
        <f>IF('Ingoing substances'!W41="Yes",'Rinse-off - DID'!B41,"")</f>
        <v/>
      </c>
      <c r="E41" s="15" t="str">
        <f>IF('Ingoing substances'!W41="Yes",'Rinse-off - DID'!G41,"")</f>
        <v/>
      </c>
      <c r="F41" s="7"/>
      <c r="G41" s="7"/>
      <c r="H41" s="15" t="str">
        <f t="shared" si="0"/>
        <v/>
      </c>
      <c r="I41" s="9"/>
    </row>
    <row r="42" spans="1:9">
      <c r="A42" s="5">
        <v>33</v>
      </c>
      <c r="B42" s="6" t="str">
        <f>IF(D42="","",VLOOKUP(D42,'Ingoing substances'!$B$11:$C$59,2,FALSE))</f>
        <v/>
      </c>
      <c r="C42" s="6" t="str">
        <f>IF(D42="","",VLOOKUP(B42,'Product formulation'!$B$9:$C$37,2,FALSE))</f>
        <v/>
      </c>
      <c r="D42" s="6" t="str">
        <f>IF('Ingoing substances'!W42="Yes",'Rinse-off - DID'!B42,"")</f>
        <v/>
      </c>
      <c r="E42" s="15" t="str">
        <f>IF('Ingoing substances'!W42="Yes",'Rinse-off - DID'!G42,"")</f>
        <v/>
      </c>
      <c r="F42" s="7"/>
      <c r="G42" s="7"/>
      <c r="H42" s="15" t="str">
        <f t="shared" si="0"/>
        <v/>
      </c>
      <c r="I42" s="9"/>
    </row>
    <row r="43" spans="1:9">
      <c r="A43" s="5">
        <v>34</v>
      </c>
      <c r="B43" s="6" t="str">
        <f>IF(D43="","",VLOOKUP(D43,'Ingoing substances'!$B$11:$C$59,2,FALSE))</f>
        <v/>
      </c>
      <c r="C43" s="6" t="str">
        <f>IF(D43="","",VLOOKUP(B43,'Product formulation'!$B$9:$C$37,2,FALSE))</f>
        <v/>
      </c>
      <c r="D43" s="6" t="str">
        <f>IF('Ingoing substances'!W43="Yes",'Rinse-off - DID'!B43,"")</f>
        <v/>
      </c>
      <c r="E43" s="15" t="str">
        <f>IF('Ingoing substances'!W43="Yes",'Rinse-off - DID'!G43,"")</f>
        <v/>
      </c>
      <c r="F43" s="7"/>
      <c r="G43" s="7"/>
      <c r="H43" s="15" t="str">
        <f t="shared" si="0"/>
        <v/>
      </c>
      <c r="I43" s="9"/>
    </row>
    <row r="44" spans="1:9">
      <c r="A44" s="5">
        <v>35</v>
      </c>
      <c r="B44" s="6" t="str">
        <f>IF(D44="","",VLOOKUP(D44,'Ingoing substances'!$B$11:$C$59,2,FALSE))</f>
        <v/>
      </c>
      <c r="C44" s="6" t="str">
        <f>IF(D44="","",VLOOKUP(B44,'Product formulation'!$B$9:$C$37,2,FALSE))</f>
        <v/>
      </c>
      <c r="D44" s="6" t="str">
        <f>IF('Ingoing substances'!W44="Yes",'Rinse-off - DID'!B44,"")</f>
        <v/>
      </c>
      <c r="E44" s="15" t="str">
        <f>IF('Ingoing substances'!W44="Yes",'Rinse-off - DID'!G44,"")</f>
        <v/>
      </c>
      <c r="F44" s="7"/>
      <c r="G44" s="7"/>
      <c r="H44" s="15" t="str">
        <f t="shared" si="0"/>
        <v/>
      </c>
      <c r="I44" s="9"/>
    </row>
    <row r="45" spans="1:9">
      <c r="A45" s="5">
        <v>36</v>
      </c>
      <c r="B45" s="6" t="str">
        <f>IF(D45="","",VLOOKUP(D45,'Ingoing substances'!$B$11:$C$59,2,FALSE))</f>
        <v/>
      </c>
      <c r="C45" s="6" t="str">
        <f>IF(D45="","",VLOOKUP(B45,'Product formulation'!$B$9:$C$37,2,FALSE))</f>
        <v/>
      </c>
      <c r="D45" s="6" t="str">
        <f>IF('Ingoing substances'!W45="Yes",'Rinse-off - DID'!B45,"")</f>
        <v/>
      </c>
      <c r="E45" s="15" t="str">
        <f>IF('Ingoing substances'!W45="Yes",'Rinse-off - DID'!G45,"")</f>
        <v/>
      </c>
      <c r="F45" s="7"/>
      <c r="G45" s="7"/>
      <c r="H45" s="15" t="str">
        <f t="shared" si="0"/>
        <v/>
      </c>
      <c r="I45" s="9"/>
    </row>
    <row r="46" spans="1:9">
      <c r="A46" s="5">
        <v>37</v>
      </c>
      <c r="B46" s="6" t="str">
        <f>IF(D46="","",VLOOKUP(D46,'Ingoing substances'!$B$11:$C$59,2,FALSE))</f>
        <v/>
      </c>
      <c r="C46" s="6" t="str">
        <f>IF(D46="","",VLOOKUP(B46,'Product formulation'!$B$9:$C$37,2,FALSE))</f>
        <v/>
      </c>
      <c r="D46" s="6" t="str">
        <f>IF('Ingoing substances'!W46="Yes",'Rinse-off - DID'!B46,"")</f>
        <v/>
      </c>
      <c r="E46" s="15" t="str">
        <f>IF('Ingoing substances'!W46="Yes",'Rinse-off - DID'!G46,"")</f>
        <v/>
      </c>
      <c r="F46" s="7"/>
      <c r="G46" s="7"/>
      <c r="H46" s="15" t="str">
        <f t="shared" si="0"/>
        <v/>
      </c>
      <c r="I46" s="9"/>
    </row>
    <row r="47" spans="1:9">
      <c r="A47" s="5">
        <v>38</v>
      </c>
      <c r="B47" s="6" t="str">
        <f>IF(D47="","",VLOOKUP(D47,'Ingoing substances'!$B$11:$C$59,2,FALSE))</f>
        <v/>
      </c>
      <c r="C47" s="6" t="str">
        <f>IF(D47="","",VLOOKUP(B47,'Product formulation'!$B$9:$C$37,2,FALSE))</f>
        <v/>
      </c>
      <c r="D47" s="6" t="str">
        <f>IF('Ingoing substances'!W47="Yes",'Rinse-off - DID'!B47,"")</f>
        <v/>
      </c>
      <c r="E47" s="15" t="str">
        <f>IF('Ingoing substances'!W47="Yes",'Rinse-off - DID'!G47,"")</f>
        <v/>
      </c>
      <c r="F47" s="7"/>
      <c r="G47" s="7"/>
      <c r="H47" s="15" t="str">
        <f t="shared" si="0"/>
        <v/>
      </c>
      <c r="I47" s="9"/>
    </row>
    <row r="48" spans="1:9">
      <c r="A48" s="5">
        <v>39</v>
      </c>
      <c r="B48" s="6" t="str">
        <f>IF(D48="","",VLOOKUP(D48,'Ingoing substances'!$B$11:$C$59,2,FALSE))</f>
        <v/>
      </c>
      <c r="C48" s="6" t="str">
        <f>IF(D48="","",VLOOKUP(B48,'Product formulation'!$B$9:$C$37,2,FALSE))</f>
        <v/>
      </c>
      <c r="D48" s="6" t="str">
        <f>IF('Ingoing substances'!W48="Yes",'Rinse-off - DID'!B48,"")</f>
        <v/>
      </c>
      <c r="E48" s="15" t="str">
        <f>IF('Ingoing substances'!W48="Yes",'Rinse-off - DID'!G48,"")</f>
        <v/>
      </c>
      <c r="F48" s="7"/>
      <c r="G48" s="7"/>
      <c r="H48" s="15" t="str">
        <f t="shared" si="0"/>
        <v/>
      </c>
      <c r="I48" s="9"/>
    </row>
    <row r="49" spans="1:9">
      <c r="A49" s="5">
        <v>40</v>
      </c>
      <c r="B49" s="6" t="str">
        <f>IF(D49="","",VLOOKUP(D49,'Ingoing substances'!$B$11:$C$59,2,FALSE))</f>
        <v/>
      </c>
      <c r="C49" s="6" t="str">
        <f>IF(D49="","",VLOOKUP(B49,'Product formulation'!$B$9:$C$37,2,FALSE))</f>
        <v/>
      </c>
      <c r="D49" s="6" t="str">
        <f>IF('Ingoing substances'!W49="Yes",'Rinse-off - DID'!B49,"")</f>
        <v/>
      </c>
      <c r="E49" s="15" t="str">
        <f>IF('Ingoing substances'!W49="Yes",'Rinse-off - DID'!G49,"")</f>
        <v/>
      </c>
      <c r="F49" s="7"/>
      <c r="G49" s="7"/>
      <c r="H49" s="15" t="str">
        <f t="shared" si="0"/>
        <v/>
      </c>
      <c r="I49" s="9"/>
    </row>
    <row r="50" spans="1:9">
      <c r="A50" s="5">
        <v>41</v>
      </c>
      <c r="B50" s="6" t="str">
        <f>IF(D50="","",VLOOKUP(D50,'Ingoing substances'!$B$11:$C$59,2,FALSE))</f>
        <v/>
      </c>
      <c r="C50" s="6" t="str">
        <f>IF(D50="","",VLOOKUP(B50,'Product formulation'!$B$9:$C$37,2,FALSE))</f>
        <v/>
      </c>
      <c r="D50" s="6" t="str">
        <f>IF('Ingoing substances'!W50="Yes",'Rinse-off - DID'!B50,"")</f>
        <v/>
      </c>
      <c r="E50" s="15" t="str">
        <f>IF('Ingoing substances'!W50="Yes",'Rinse-off - DID'!G50,"")</f>
        <v/>
      </c>
      <c r="F50" s="7"/>
      <c r="G50" s="7"/>
      <c r="H50" s="15" t="str">
        <f t="shared" si="0"/>
        <v/>
      </c>
      <c r="I50" s="9"/>
    </row>
    <row r="51" spans="1:9">
      <c r="A51" s="5">
        <v>42</v>
      </c>
      <c r="B51" s="6" t="str">
        <f>IF(D51="","",VLOOKUP(D51,'Ingoing substances'!$B$11:$C$59,2,FALSE))</f>
        <v/>
      </c>
      <c r="C51" s="6" t="str">
        <f>IF(D51="","",VLOOKUP(B51,'Product formulation'!$B$9:$C$37,2,FALSE))</f>
        <v/>
      </c>
      <c r="D51" s="6" t="str">
        <f>IF('Ingoing substances'!W51="Yes",'Rinse-off - DID'!B51,"")</f>
        <v/>
      </c>
      <c r="E51" s="15" t="str">
        <f>IF('Ingoing substances'!W51="Yes",'Rinse-off - DID'!G51,"")</f>
        <v/>
      </c>
      <c r="F51" s="7"/>
      <c r="G51" s="7"/>
      <c r="H51" s="15" t="str">
        <f t="shared" si="0"/>
        <v/>
      </c>
      <c r="I51" s="9"/>
    </row>
    <row r="52" spans="1:9">
      <c r="A52" s="5">
        <v>43</v>
      </c>
      <c r="B52" s="6" t="str">
        <f>IF(D52="","",VLOOKUP(D52,'Ingoing substances'!$B$11:$C$59,2,FALSE))</f>
        <v/>
      </c>
      <c r="C52" s="6" t="str">
        <f>IF(D52="","",VLOOKUP(B52,'Product formulation'!$B$9:$C$37,2,FALSE))</f>
        <v/>
      </c>
      <c r="D52" s="6" t="str">
        <f>IF('Ingoing substances'!W52="Yes",'Rinse-off - DID'!B52,"")</f>
        <v/>
      </c>
      <c r="E52" s="15" t="str">
        <f>IF('Ingoing substances'!W52="Yes",'Rinse-off - DID'!G52,"")</f>
        <v/>
      </c>
      <c r="F52" s="7"/>
      <c r="G52" s="7"/>
      <c r="H52" s="15" t="str">
        <f t="shared" si="0"/>
        <v/>
      </c>
      <c r="I52" s="9"/>
    </row>
    <row r="53" spans="1:9">
      <c r="A53" s="5">
        <v>44</v>
      </c>
      <c r="B53" s="6" t="str">
        <f>IF(D53="","",VLOOKUP(D53,'Ingoing substances'!$B$11:$C$59,2,FALSE))</f>
        <v/>
      </c>
      <c r="C53" s="6" t="str">
        <f>IF(D53="","",VLOOKUP(B53,'Product formulation'!$B$9:$C$37,2,FALSE))</f>
        <v/>
      </c>
      <c r="D53" s="6" t="str">
        <f>IF('Ingoing substances'!W53="Yes",'Rinse-off - DID'!B53,"")</f>
        <v/>
      </c>
      <c r="E53" s="15" t="str">
        <f>IF('Ingoing substances'!W53="Yes",'Rinse-off - DID'!G53,"")</f>
        <v/>
      </c>
      <c r="F53" s="7"/>
      <c r="G53" s="7"/>
      <c r="H53" s="15" t="str">
        <f t="shared" si="0"/>
        <v/>
      </c>
      <c r="I53" s="9"/>
    </row>
    <row r="54" spans="1:9">
      <c r="A54" s="5">
        <v>45</v>
      </c>
      <c r="B54" s="6" t="str">
        <f>IF(D54="","",VLOOKUP(D54,'Ingoing substances'!$B$11:$C$59,2,FALSE))</f>
        <v/>
      </c>
      <c r="C54" s="6" t="str">
        <f>IF(D54="","",VLOOKUP(B54,'Product formulation'!$B$9:$C$37,2,FALSE))</f>
        <v/>
      </c>
      <c r="D54" s="6" t="str">
        <f>IF('Ingoing substances'!W54="Yes",'Rinse-off - DID'!B54,"")</f>
        <v/>
      </c>
      <c r="E54" s="15" t="str">
        <f>IF('Ingoing substances'!W54="Yes",'Rinse-off - DID'!G54,"")</f>
        <v/>
      </c>
      <c r="F54" s="7"/>
      <c r="G54" s="7"/>
      <c r="H54" s="15" t="str">
        <f t="shared" si="0"/>
        <v/>
      </c>
      <c r="I54" s="9"/>
    </row>
    <row r="55" spans="1:9">
      <c r="A55" s="5">
        <v>46</v>
      </c>
      <c r="B55" s="6" t="str">
        <f>IF(D55="","",VLOOKUP(D55,'Ingoing substances'!$B$11:$C$59,2,FALSE))</f>
        <v/>
      </c>
      <c r="C55" s="6" t="str">
        <f>IF(D55="","",VLOOKUP(B55,'Product formulation'!$B$9:$C$37,2,FALSE))</f>
        <v/>
      </c>
      <c r="D55" s="6" t="str">
        <f>IF('Ingoing substances'!W55="Yes",'Rinse-off - DID'!B55,"")</f>
        <v/>
      </c>
      <c r="E55" s="15" t="str">
        <f>IF('Ingoing substances'!W55="Yes",'Rinse-off - DID'!G55,"")</f>
        <v/>
      </c>
      <c r="F55" s="7"/>
      <c r="G55" s="7"/>
      <c r="H55" s="15" t="str">
        <f t="shared" si="0"/>
        <v/>
      </c>
      <c r="I55" s="9"/>
    </row>
    <row r="56" spans="1:9">
      <c r="A56" s="5">
        <v>47</v>
      </c>
      <c r="B56" s="6" t="str">
        <f>IF(D56="","",VLOOKUP(D56,'Ingoing substances'!$B$11:$C$59,2,FALSE))</f>
        <v/>
      </c>
      <c r="C56" s="6" t="str">
        <f>IF(D56="","",VLOOKUP(B56,'Product formulation'!$B$9:$C$37,2,FALSE))</f>
        <v/>
      </c>
      <c r="D56" s="6" t="str">
        <f>IF('Ingoing substances'!W56="Yes",'Rinse-off - DID'!B56,"")</f>
        <v/>
      </c>
      <c r="E56" s="15" t="str">
        <f>IF('Ingoing substances'!W56="Yes",'Rinse-off - DID'!G56,"")</f>
        <v/>
      </c>
      <c r="F56" s="7"/>
      <c r="G56" s="7"/>
      <c r="H56" s="15" t="str">
        <f t="shared" si="0"/>
        <v/>
      </c>
      <c r="I56" s="9"/>
    </row>
    <row r="57" spans="1:9">
      <c r="A57" s="5">
        <v>48</v>
      </c>
      <c r="B57" s="6" t="str">
        <f>IF(D57="","",VLOOKUP(D57,'Ingoing substances'!$B$11:$C$59,2,FALSE))</f>
        <v/>
      </c>
      <c r="C57" s="6" t="str">
        <f>IF(D57="","",VLOOKUP(B57,'Product formulation'!$B$9:$C$37,2,FALSE))</f>
        <v/>
      </c>
      <c r="D57" s="6" t="str">
        <f>IF('Ingoing substances'!W57="Yes",'Rinse-off - DID'!B57,"")</f>
        <v/>
      </c>
      <c r="E57" s="15" t="str">
        <f>IF('Ingoing substances'!W57="Yes",'Rinse-off - DID'!G57,"")</f>
        <v/>
      </c>
      <c r="F57" s="7"/>
      <c r="G57" s="7"/>
      <c r="H57" s="15" t="str">
        <f t="shared" si="0"/>
        <v/>
      </c>
      <c r="I57" s="9"/>
    </row>
    <row r="58" spans="1:9">
      <c r="A58" s="5">
        <v>49</v>
      </c>
      <c r="B58" s="6" t="str">
        <f>IF(D58="","",VLOOKUP(D58,'Ingoing substances'!$B$11:$C$59,2,FALSE))</f>
        <v/>
      </c>
      <c r="C58" s="6" t="str">
        <f>IF(D58="","",VLOOKUP(B58,'Product formulation'!$B$9:$C$37,2,FALSE))</f>
        <v/>
      </c>
      <c r="D58" s="6" t="str">
        <f>IF('Ingoing substances'!W58="Yes",'Rinse-off - DID'!B58,"")</f>
        <v/>
      </c>
      <c r="E58" s="15" t="str">
        <f>IF('Ingoing substances'!W58="Yes",'Rinse-off - DID'!G58,"")</f>
        <v/>
      </c>
      <c r="F58" s="7"/>
      <c r="G58" s="7"/>
      <c r="H58" s="15" t="str">
        <f t="shared" si="0"/>
        <v/>
      </c>
      <c r="I58" s="9"/>
    </row>
    <row r="59" spans="1:9">
      <c r="A59" s="5">
        <v>50</v>
      </c>
      <c r="B59" s="6" t="str">
        <f>IF(D59="","",VLOOKUP(D59,'Ingoing substances'!$B$11:$C$59,2,FALSE))</f>
        <v/>
      </c>
      <c r="C59" s="6" t="str">
        <f>IF(D59="","",VLOOKUP(B59,'Product formulation'!$B$9:$C$37,2,FALSE))</f>
        <v/>
      </c>
      <c r="D59" s="6" t="str">
        <f>IF('Ingoing substances'!W59="Yes",'Rinse-off - DID'!B59,"")</f>
        <v/>
      </c>
      <c r="E59" s="15" t="str">
        <f>IF('Ingoing substances'!W59="Yes",'Rinse-off - DID'!G59,"")</f>
        <v/>
      </c>
      <c r="F59" s="7"/>
      <c r="G59" s="7"/>
      <c r="H59" s="15" t="str">
        <f t="shared" si="0"/>
        <v/>
      </c>
      <c r="I59" s="9"/>
    </row>
    <row r="60" spans="1:9">
      <c r="B60" s="138" t="s">
        <v>27</v>
      </c>
      <c r="C60" s="138"/>
      <c r="D60" s="138"/>
      <c r="E60" s="138">
        <f>SUM(E11:E59)</f>
        <v>0</v>
      </c>
      <c r="F60" s="138"/>
      <c r="G60" s="143"/>
      <c r="H60" s="143"/>
      <c r="I60" s="143"/>
    </row>
    <row r="62" spans="1:9">
      <c r="B62" s="2" t="s">
        <v>410</v>
      </c>
    </row>
    <row r="63" spans="1:9">
      <c r="B63" s="311"/>
      <c r="C63" s="312"/>
      <c r="D63" s="312"/>
      <c r="E63" s="312"/>
      <c r="F63" s="312"/>
      <c r="G63" s="312"/>
      <c r="H63" s="312"/>
      <c r="I63" s="313"/>
    </row>
    <row r="64" spans="1:9">
      <c r="B64" s="314"/>
      <c r="C64" s="315"/>
      <c r="D64" s="315"/>
      <c r="E64" s="315"/>
      <c r="F64" s="315"/>
      <c r="G64" s="315"/>
      <c r="H64" s="315"/>
      <c r="I64" s="316"/>
    </row>
    <row r="65" spans="2:9">
      <c r="B65" s="314"/>
      <c r="C65" s="315"/>
      <c r="D65" s="315"/>
      <c r="E65" s="315"/>
      <c r="F65" s="315"/>
      <c r="G65" s="315"/>
      <c r="H65" s="315"/>
      <c r="I65" s="316"/>
    </row>
    <row r="66" spans="2:9">
      <c r="B66" s="317"/>
      <c r="C66" s="318"/>
      <c r="D66" s="318"/>
      <c r="E66" s="318"/>
      <c r="F66" s="318"/>
      <c r="G66" s="318"/>
      <c r="H66" s="318"/>
      <c r="I66" s="319"/>
    </row>
  </sheetData>
  <sheetProtection algorithmName="SHA-512" hashValue="GWoStWZLiWBEyF0UoHI96naVTMwtr4pYb5UVgH/vNReMQ7U0DfGtKhM35/zYrSFO3UiaIG+ttPkiG2WzEDO7FQ==" saltValue="g9J5CBd/2avw79baXHRwfw==" spinCount="100000" sheet="1" selectLockedCells="1"/>
  <autoFilter ref="B8:B59" xr:uid="{00000000-0009-0000-0000-000006000000}"/>
  <mergeCells count="10">
    <mergeCell ref="B1:D1"/>
    <mergeCell ref="B63:I66"/>
    <mergeCell ref="D8:D9"/>
    <mergeCell ref="C8:C9"/>
    <mergeCell ref="C2:D2"/>
    <mergeCell ref="C3:D3"/>
    <mergeCell ref="C4:D4"/>
    <mergeCell ref="B8:B9"/>
    <mergeCell ref="I8:I9"/>
    <mergeCell ref="G8:H8"/>
  </mergeCells>
  <conditionalFormatting sqref="I11:I59">
    <cfRule type="expression" dxfId="34" priority="2">
      <formula>ISBLANK(G11)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1BAC05-3492-4E3D-A342-F859A0413204}">
            <xm:f>'Ingoing substances'!$W11="Yes"</xm:f>
            <x14:dxf>
              <fill>
                <patternFill>
                  <bgColor theme="0" tint="-0.14996795556505021"/>
                </patternFill>
              </fill>
            </x14:dxf>
          </x14:cfRule>
          <xm:sqref>F11:G59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Hoja2!$B$30:$B$32</xm:f>
          </x14:formula1>
          <xm:sqref>G11:G59</xm:sqref>
        </x14:dataValidation>
        <x14:dataValidation type="list" allowBlank="1" showInputMessage="1" showErrorMessage="1" xr:uid="{00000000-0002-0000-0600-000001000000}">
          <x14:formula1>
            <xm:f>Hoja2!$B$41:$B$43</xm:f>
          </x14:formula1>
          <xm:sqref>F11:F59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
  <dimension ref="B1:U185"/>
  <sheetViews>
    <sheetView zoomScaleNormal="100" workbookViewId="0">
      <selection activeCell="F42" sqref="F42:H42"/>
    </sheetView>
  </sheetViews>
  <sheetFormatPr defaultColWidth="11.42578125" defaultRowHeight="12.75"/>
  <cols>
    <col min="1" max="2" width="3.7109375" style="2" customWidth="1"/>
    <col min="3" max="3" width="3.42578125" style="2" customWidth="1"/>
    <col min="4" max="4" width="20.42578125" style="2" customWidth="1"/>
    <col min="5" max="5" width="13" style="2" customWidth="1"/>
    <col min="6" max="6" width="4.5703125" style="2" customWidth="1"/>
    <col min="7" max="7" width="11.42578125" style="2"/>
    <col min="8" max="8" width="13.140625" style="2" customWidth="1"/>
    <col min="9" max="10" width="11.42578125" style="2"/>
    <col min="11" max="11" width="2.85546875" style="2" customWidth="1"/>
    <col min="12" max="12" width="13.5703125" style="17" hidden="1" customWidth="1"/>
    <col min="13" max="13" width="3.140625" style="2" customWidth="1"/>
    <col min="14" max="14" width="12.28515625" style="2" bestFit="1" customWidth="1"/>
    <col min="15" max="17" width="11.42578125" style="2"/>
    <col min="18" max="18" width="12.42578125" style="20" hidden="1" customWidth="1"/>
    <col min="19" max="19" width="16.28515625" style="83" bestFit="1" customWidth="1"/>
    <col min="20" max="16384" width="11.42578125" style="2"/>
  </cols>
  <sheetData>
    <row r="1" spans="2:19" ht="15">
      <c r="L1" s="34"/>
      <c r="M1" s="401" t="s">
        <v>298</v>
      </c>
      <c r="N1" s="401"/>
      <c r="O1" s="401"/>
      <c r="P1" s="401"/>
      <c r="Q1" s="401"/>
      <c r="R1" s="59"/>
      <c r="S1" s="64" t="s">
        <v>32</v>
      </c>
    </row>
    <row r="2" spans="2:19" ht="28.5" customHeight="1">
      <c r="B2" s="403" t="s">
        <v>473</v>
      </c>
      <c r="C2" s="403"/>
      <c r="D2" s="403"/>
      <c r="E2" s="403"/>
      <c r="F2" s="403"/>
      <c r="G2" s="403"/>
      <c r="H2" s="403"/>
      <c r="I2" s="403"/>
      <c r="J2" s="403"/>
      <c r="K2" s="403"/>
      <c r="L2" s="403"/>
      <c r="M2" s="404"/>
      <c r="N2" s="404"/>
      <c r="O2" s="404"/>
      <c r="P2" s="404"/>
      <c r="Q2" s="404"/>
      <c r="R2" s="18"/>
      <c r="S2" s="58" t="str">
        <f>IF(AND(S3="a",S7="a"),"Compliant","Not Compliant")</f>
        <v>Not Compliant</v>
      </c>
    </row>
    <row r="3" spans="2:19" ht="14.25" customHeight="1">
      <c r="B3" s="36"/>
      <c r="C3" s="37" t="s">
        <v>238</v>
      </c>
      <c r="D3" s="37"/>
      <c r="E3" s="37"/>
      <c r="F3" s="37"/>
      <c r="G3" s="37"/>
      <c r="H3" s="37"/>
      <c r="I3" s="37"/>
      <c r="J3" s="37"/>
      <c r="K3" s="37"/>
      <c r="L3" s="121" t="str">
        <f>IF(E5&lt;=E6,"Ok","No Ok")</f>
        <v>Ok</v>
      </c>
      <c r="M3" s="28"/>
      <c r="N3" s="406" t="str">
        <f>IF(L8=FALSE,"Documentation associated to the calculation of the values of DF and TF chronic","")</f>
        <v>Documentation associated to the calculation of the values of DF and TF chronic</v>
      </c>
      <c r="O3" s="406"/>
      <c r="P3" s="406"/>
      <c r="Q3" s="407"/>
      <c r="R3" s="19"/>
      <c r="S3" s="361" t="str">
        <f>IF(L5=TRUE,(IF(L3="Ok","a")),"r")</f>
        <v>r</v>
      </c>
    </row>
    <row r="4" spans="2:19" ht="6" customHeight="1">
      <c r="B4" s="38"/>
      <c r="C4" s="17"/>
      <c r="D4" s="17"/>
      <c r="E4" s="17"/>
      <c r="F4" s="17"/>
      <c r="G4" s="17"/>
      <c r="H4" s="17"/>
      <c r="I4" s="17"/>
      <c r="J4" s="17"/>
      <c r="K4" s="17"/>
      <c r="L4" s="122"/>
      <c r="M4" s="24"/>
      <c r="N4" s="399"/>
      <c r="O4" s="399"/>
      <c r="P4" s="399"/>
      <c r="Q4" s="400"/>
      <c r="S4" s="362"/>
    </row>
    <row r="5" spans="2:19" s="11" customFormat="1" ht="23.25" customHeight="1">
      <c r="B5" s="39"/>
      <c r="C5" s="402" t="s">
        <v>236</v>
      </c>
      <c r="D5" s="402"/>
      <c r="E5" s="115">
        <f>'Results 1&amp;2'!F60</f>
        <v>0</v>
      </c>
      <c r="F5" s="118"/>
      <c r="G5" s="118"/>
      <c r="H5" s="118"/>
      <c r="I5" s="118"/>
      <c r="J5" s="118"/>
      <c r="K5" s="118"/>
      <c r="L5" s="123" t="b">
        <v>0</v>
      </c>
      <c r="M5" s="29"/>
      <c r="N5" s="399"/>
      <c r="O5" s="399"/>
      <c r="P5" s="399"/>
      <c r="Q5" s="400"/>
      <c r="R5" s="21"/>
      <c r="S5" s="362"/>
    </row>
    <row r="6" spans="2:19" s="11" customFormat="1" ht="23.25" customHeight="1">
      <c r="B6" s="39"/>
      <c r="C6" s="402" t="s">
        <v>237</v>
      </c>
      <c r="D6" s="402"/>
      <c r="E6" s="116">
        <v>12000</v>
      </c>
      <c r="F6" s="118"/>
      <c r="G6" s="118"/>
      <c r="H6" s="118"/>
      <c r="I6" s="118"/>
      <c r="J6" s="118"/>
      <c r="K6" s="118"/>
      <c r="L6" s="124"/>
      <c r="M6" s="30"/>
      <c r="Q6" s="31"/>
      <c r="R6" s="21"/>
      <c r="S6" s="362"/>
    </row>
    <row r="7" spans="2:19" ht="6" customHeight="1">
      <c r="B7" s="38"/>
      <c r="C7" s="17"/>
      <c r="D7" s="17"/>
      <c r="E7" s="17"/>
      <c r="F7" s="17"/>
      <c r="G7" s="17"/>
      <c r="H7" s="17"/>
      <c r="I7" s="17"/>
      <c r="J7" s="17"/>
      <c r="K7" s="17"/>
      <c r="L7" s="122"/>
      <c r="M7" s="24"/>
      <c r="Q7" s="32"/>
      <c r="S7" s="361" t="str">
        <f>IF(L8=TRUE,"a",(IF(R8=TRUE,"a","r")))</f>
        <v>r</v>
      </c>
    </row>
    <row r="8" spans="2:19">
      <c r="B8" s="38"/>
      <c r="C8" s="17" t="s">
        <v>296</v>
      </c>
      <c r="D8" s="17"/>
      <c r="E8" s="17"/>
      <c r="F8" s="17"/>
      <c r="G8" s="17"/>
      <c r="H8" s="17"/>
      <c r="I8" s="17"/>
      <c r="J8" s="17"/>
      <c r="K8" s="17"/>
      <c r="L8" s="122" t="b">
        <v>0</v>
      </c>
      <c r="M8" s="24"/>
      <c r="N8" s="395"/>
      <c r="O8" s="395"/>
      <c r="P8" s="395"/>
      <c r="Q8" s="396"/>
      <c r="R8" s="127" t="b">
        <v>0</v>
      </c>
      <c r="S8" s="362"/>
    </row>
    <row r="9" spans="2:19" ht="6" customHeight="1">
      <c r="B9" s="40"/>
      <c r="C9" s="41"/>
      <c r="D9" s="41"/>
      <c r="E9" s="41"/>
      <c r="F9" s="41"/>
      <c r="G9" s="41"/>
      <c r="H9" s="41"/>
      <c r="I9" s="41"/>
      <c r="J9" s="41"/>
      <c r="K9" s="41"/>
      <c r="L9" s="41"/>
      <c r="M9" s="33"/>
      <c r="N9" s="397"/>
      <c r="O9" s="397"/>
      <c r="P9" s="397"/>
      <c r="Q9" s="398"/>
      <c r="R9" s="22"/>
      <c r="S9" s="363"/>
    </row>
    <row r="10" spans="2:19" ht="14.25">
      <c r="L10" s="2"/>
      <c r="N10" s="25"/>
      <c r="O10" s="25"/>
      <c r="P10" s="25"/>
      <c r="Q10" s="25"/>
      <c r="R10" s="1"/>
      <c r="S10" s="27"/>
    </row>
    <row r="11" spans="2:19" ht="27" customHeight="1">
      <c r="B11" s="403" t="s">
        <v>472</v>
      </c>
      <c r="C11" s="403"/>
      <c r="D11" s="403"/>
      <c r="E11" s="403"/>
      <c r="F11" s="403"/>
      <c r="G11" s="403"/>
      <c r="H11" s="403"/>
      <c r="I11" s="403"/>
      <c r="J11" s="403"/>
      <c r="K11" s="403"/>
      <c r="L11" s="403"/>
      <c r="M11" s="405"/>
      <c r="N11" s="405"/>
      <c r="O11" s="405"/>
      <c r="P11" s="405"/>
      <c r="Q11" s="405"/>
      <c r="R11" s="403"/>
      <c r="S11" s="403"/>
    </row>
    <row r="12" spans="2:19" ht="15">
      <c r="B12" s="42" t="s">
        <v>239</v>
      </c>
      <c r="C12" s="43" t="s">
        <v>240</v>
      </c>
      <c r="D12" s="44"/>
      <c r="E12" s="44"/>
      <c r="F12" s="44"/>
      <c r="G12" s="44"/>
      <c r="H12" s="44"/>
      <c r="I12" s="44"/>
      <c r="J12" s="45"/>
      <c r="K12" s="46"/>
      <c r="L12" s="37"/>
      <c r="M12" s="50"/>
      <c r="N12" s="51"/>
      <c r="O12" s="51"/>
      <c r="P12" s="51"/>
      <c r="Q12" s="52"/>
      <c r="R12" s="47"/>
      <c r="S12" s="63" t="str">
        <f>IF(S13="a","Compliant","Not Compliant")</f>
        <v>Not Compliant</v>
      </c>
    </row>
    <row r="13" spans="2:19" ht="12.75" customHeight="1">
      <c r="B13" s="38"/>
      <c r="C13" s="376" t="s">
        <v>241</v>
      </c>
      <c r="D13" s="376"/>
      <c r="E13" s="376"/>
      <c r="F13" s="376"/>
      <c r="G13" s="376"/>
      <c r="H13" s="376"/>
      <c r="I13" s="376"/>
      <c r="J13" s="376"/>
      <c r="K13" s="117"/>
      <c r="L13" s="122" t="b">
        <v>0</v>
      </c>
      <c r="M13" s="24"/>
      <c r="N13" s="388"/>
      <c r="O13" s="388"/>
      <c r="P13" s="388"/>
      <c r="Q13" s="389"/>
      <c r="R13" s="19"/>
      <c r="S13" s="361" t="str">
        <f>IF(L13=TRUE,(IF(AND(L16="ok",L17="ok"),"a","r")),"")</f>
        <v/>
      </c>
    </row>
    <row r="14" spans="2:19" ht="12.75" customHeight="1">
      <c r="B14" s="38"/>
      <c r="C14" s="376"/>
      <c r="D14" s="376"/>
      <c r="E14" s="376"/>
      <c r="F14" s="376"/>
      <c r="G14" s="376"/>
      <c r="H14" s="376"/>
      <c r="I14" s="376"/>
      <c r="J14" s="376"/>
      <c r="K14" s="117"/>
      <c r="L14" s="122"/>
      <c r="M14" s="24"/>
      <c r="N14" s="388"/>
      <c r="O14" s="388"/>
      <c r="P14" s="388"/>
      <c r="Q14" s="389"/>
      <c r="S14" s="362"/>
    </row>
    <row r="15" spans="2:19" ht="6.6" customHeight="1">
      <c r="B15" s="38"/>
      <c r="C15" s="117"/>
      <c r="D15" s="117"/>
      <c r="E15" s="117"/>
      <c r="F15" s="117"/>
      <c r="G15" s="117"/>
      <c r="H15" s="117"/>
      <c r="I15" s="117"/>
      <c r="J15" s="117"/>
      <c r="K15" s="117"/>
      <c r="L15" s="122"/>
      <c r="M15" s="24"/>
      <c r="Q15" s="32"/>
      <c r="S15" s="362"/>
    </row>
    <row r="16" spans="2:19" ht="25.5" customHeight="1">
      <c r="B16" s="38"/>
      <c r="C16" s="402" t="s">
        <v>245</v>
      </c>
      <c r="D16" s="402"/>
      <c r="E16" s="115">
        <f>'Results 1&amp;2'!G60</f>
        <v>0</v>
      </c>
      <c r="F16" s="118"/>
      <c r="G16" s="402" t="s">
        <v>247</v>
      </c>
      <c r="H16" s="402"/>
      <c r="I16" s="115">
        <f>'Results 1&amp;2'!H60</f>
        <v>0</v>
      </c>
      <c r="J16" s="118"/>
      <c r="K16" s="119"/>
      <c r="L16" s="125" t="str">
        <f>IF(E16=0,"Ok","No Ok")</f>
        <v>Ok</v>
      </c>
      <c r="M16" s="29"/>
      <c r="N16" s="390"/>
      <c r="O16" s="390"/>
      <c r="P16" s="390"/>
      <c r="Q16" s="391"/>
      <c r="S16" s="362"/>
    </row>
    <row r="17" spans="2:19" ht="25.5" customHeight="1">
      <c r="B17" s="38"/>
      <c r="C17" s="402" t="s">
        <v>244</v>
      </c>
      <c r="D17" s="402"/>
      <c r="E17" s="116">
        <v>0</v>
      </c>
      <c r="F17" s="118"/>
      <c r="G17" s="402" t="s">
        <v>246</v>
      </c>
      <c r="H17" s="402"/>
      <c r="I17" s="116">
        <v>0</v>
      </c>
      <c r="J17" s="118"/>
      <c r="K17" s="120"/>
      <c r="L17" s="125" t="str">
        <f>IF(I16=0,"Ok","No Ok")</f>
        <v>Ok</v>
      </c>
      <c r="M17" s="29"/>
      <c r="Q17" s="32"/>
      <c r="S17" s="362"/>
    </row>
    <row r="18" spans="2:19" ht="6.6" customHeight="1">
      <c r="B18" s="38"/>
      <c r="C18" s="117"/>
      <c r="D18" s="117"/>
      <c r="E18" s="117"/>
      <c r="F18" s="117"/>
      <c r="G18" s="117"/>
      <c r="H18" s="117"/>
      <c r="I18" s="117"/>
      <c r="J18" s="117"/>
      <c r="K18" s="117"/>
      <c r="L18" s="122"/>
      <c r="M18" s="24"/>
      <c r="Q18" s="32"/>
      <c r="S18" s="365"/>
    </row>
    <row r="19" spans="2:19">
      <c r="B19" s="38"/>
      <c r="C19" s="17"/>
      <c r="D19" s="17"/>
      <c r="E19" s="17"/>
      <c r="F19" s="17"/>
      <c r="G19" s="17"/>
      <c r="H19" s="17"/>
      <c r="I19" s="17"/>
      <c r="J19" s="17"/>
      <c r="K19" s="17"/>
      <c r="L19" s="122"/>
      <c r="M19" s="24"/>
      <c r="Q19" s="32"/>
      <c r="S19" s="394"/>
    </row>
    <row r="20" spans="2:19" ht="6.6" customHeight="1">
      <c r="B20" s="38"/>
      <c r="C20" s="17"/>
      <c r="D20" s="17"/>
      <c r="E20" s="17"/>
      <c r="F20" s="17"/>
      <c r="G20" s="17"/>
      <c r="H20" s="17"/>
      <c r="I20" s="17"/>
      <c r="J20" s="17"/>
      <c r="K20" s="17"/>
      <c r="L20" s="122"/>
      <c r="M20" s="24"/>
      <c r="Q20" s="32"/>
      <c r="R20" s="23"/>
      <c r="S20" s="366"/>
    </row>
    <row r="21" spans="2:19" ht="15">
      <c r="B21" s="49" t="s">
        <v>242</v>
      </c>
      <c r="C21" s="13" t="s">
        <v>243</v>
      </c>
      <c r="D21" s="12"/>
      <c r="E21" s="12"/>
      <c r="F21" s="12"/>
      <c r="G21" s="12"/>
      <c r="H21" s="12"/>
      <c r="I21" s="12"/>
      <c r="J21" s="14"/>
      <c r="K21" s="14"/>
      <c r="L21" s="122"/>
      <c r="M21" s="53"/>
      <c r="N21" s="54"/>
      <c r="Q21" s="32"/>
      <c r="S21" s="80" t="str">
        <f>IF(AND(S30="",S22="a",S27="a"),"Compliant",IF(AND(S22="a",S27="a",S30="a"),"Compliant","Not Compliant"))</f>
        <v>Not Compliant</v>
      </c>
    </row>
    <row r="22" spans="2:19" ht="13.5" customHeight="1">
      <c r="B22" s="38"/>
      <c r="C22" s="376" t="s">
        <v>277</v>
      </c>
      <c r="D22" s="376"/>
      <c r="E22" s="376"/>
      <c r="F22" s="376"/>
      <c r="G22" s="376"/>
      <c r="H22" s="376"/>
      <c r="I22" s="376"/>
      <c r="J22" s="376"/>
      <c r="K22" s="117"/>
      <c r="L22" s="122" t="b">
        <v>0</v>
      </c>
      <c r="M22" s="24"/>
      <c r="N22" s="392" t="str">
        <f>IF(L28=FALSE,"Documentation associated to the calculation of the values of biodegradability","")</f>
        <v>Documentation associated to the calculation of the values of biodegradability</v>
      </c>
      <c r="O22" s="392"/>
      <c r="P22" s="392"/>
      <c r="Q22" s="393"/>
      <c r="R22" s="19"/>
      <c r="S22" s="361" t="str">
        <f>IF(L22=TRUE,(IF(AND(L25="ok",L26="ok"),"a","r")),"")</f>
        <v/>
      </c>
    </row>
    <row r="23" spans="2:19" ht="12.75" customHeight="1">
      <c r="B23" s="38"/>
      <c r="C23" s="376"/>
      <c r="D23" s="376"/>
      <c r="E23" s="376"/>
      <c r="F23" s="376"/>
      <c r="G23" s="376"/>
      <c r="H23" s="376"/>
      <c r="I23" s="376"/>
      <c r="J23" s="376"/>
      <c r="K23" s="117"/>
      <c r="L23" s="122"/>
      <c r="M23" s="24"/>
      <c r="N23" s="392"/>
      <c r="O23" s="392"/>
      <c r="P23" s="392"/>
      <c r="Q23" s="393"/>
      <c r="S23" s="362"/>
    </row>
    <row r="24" spans="2:19" ht="6.6" customHeight="1">
      <c r="B24" s="38"/>
      <c r="C24" s="17"/>
      <c r="D24" s="17"/>
      <c r="E24" s="17"/>
      <c r="F24" s="17"/>
      <c r="G24" s="17"/>
      <c r="H24" s="17"/>
      <c r="I24" s="17"/>
      <c r="J24" s="17"/>
      <c r="K24" s="17"/>
      <c r="L24" s="122"/>
      <c r="M24" s="24"/>
      <c r="N24" s="392"/>
      <c r="O24" s="392"/>
      <c r="P24" s="392"/>
      <c r="Q24" s="393"/>
      <c r="S24" s="362"/>
    </row>
    <row r="25" spans="2:19" ht="25.5" customHeight="1">
      <c r="B25" s="38"/>
      <c r="C25" s="402" t="s">
        <v>245</v>
      </c>
      <c r="D25" s="402"/>
      <c r="E25" s="115">
        <f>'Results 1&amp;2'!I60</f>
        <v>0</v>
      </c>
      <c r="F25" s="118"/>
      <c r="G25" s="402" t="s">
        <v>247</v>
      </c>
      <c r="H25" s="402"/>
      <c r="I25" s="115">
        <f>'Results 1&amp;2'!J60</f>
        <v>0</v>
      </c>
      <c r="J25" s="118"/>
      <c r="K25" s="119"/>
      <c r="L25" s="125" t="str">
        <f>IF(E25&lt;=E26,"Ok","No Ok")</f>
        <v>Ok</v>
      </c>
      <c r="M25" s="29"/>
      <c r="N25" s="399" t="str">
        <f>IF(L30=TRUE,"If readily degradable value of BCF or LogKow, Test for anaerobic biodegradability or Test for adsorption/desorption","")</f>
        <v/>
      </c>
      <c r="O25" s="399"/>
      <c r="P25" s="399"/>
      <c r="Q25" s="400"/>
      <c r="S25" s="362"/>
    </row>
    <row r="26" spans="2:19" ht="25.5" customHeight="1">
      <c r="B26" s="38"/>
      <c r="C26" s="402" t="s">
        <v>244</v>
      </c>
      <c r="D26" s="402"/>
      <c r="E26" s="116">
        <v>15</v>
      </c>
      <c r="F26" s="118"/>
      <c r="G26" s="402" t="s">
        <v>246</v>
      </c>
      <c r="H26" s="402"/>
      <c r="I26" s="116">
        <v>15</v>
      </c>
      <c r="J26" s="118"/>
      <c r="K26" s="120"/>
      <c r="L26" s="125" t="str">
        <f>IF(I25&lt;=I26,"Ok","No Ok")</f>
        <v>Ok</v>
      </c>
      <c r="M26" s="29"/>
      <c r="N26" s="399"/>
      <c r="O26" s="399"/>
      <c r="P26" s="399"/>
      <c r="Q26" s="400"/>
      <c r="S26" s="362"/>
    </row>
    <row r="27" spans="2:19" ht="6.6" customHeight="1">
      <c r="B27" s="38"/>
      <c r="C27" s="17"/>
      <c r="D27" s="17"/>
      <c r="E27" s="17"/>
      <c r="F27" s="17"/>
      <c r="G27" s="17"/>
      <c r="H27" s="17"/>
      <c r="I27" s="17"/>
      <c r="J27" s="17"/>
      <c r="K27" s="17"/>
      <c r="L27" s="122"/>
      <c r="M27" s="24"/>
      <c r="Q27" s="32"/>
      <c r="S27" s="361" t="str">
        <f>IF(L28=TRUE,"a",(IF(R28=TRUE,"a","r")))</f>
        <v>r</v>
      </c>
    </row>
    <row r="28" spans="2:19" ht="14.25" customHeight="1">
      <c r="B28" s="38"/>
      <c r="C28" s="17" t="s">
        <v>296</v>
      </c>
      <c r="D28" s="17"/>
      <c r="E28" s="17"/>
      <c r="F28" s="17"/>
      <c r="G28" s="17"/>
      <c r="H28" s="17"/>
      <c r="I28" s="17"/>
      <c r="J28" s="17"/>
      <c r="K28" s="17"/>
      <c r="L28" s="122" t="b">
        <v>0</v>
      </c>
      <c r="M28" s="24"/>
      <c r="N28" s="395"/>
      <c r="O28" s="395"/>
      <c r="P28" s="395"/>
      <c r="Q28" s="396"/>
      <c r="R28" s="127" t="b">
        <v>0</v>
      </c>
      <c r="S28" s="362"/>
    </row>
    <row r="29" spans="2:19" ht="6.6" customHeight="1">
      <c r="B29" s="38"/>
      <c r="C29" s="17"/>
      <c r="D29" s="17"/>
      <c r="E29" s="17"/>
      <c r="F29" s="17"/>
      <c r="G29" s="17"/>
      <c r="H29" s="17"/>
      <c r="I29" s="17"/>
      <c r="J29" s="17"/>
      <c r="K29" s="17"/>
      <c r="L29" s="122"/>
      <c r="M29" s="24"/>
      <c r="N29" s="395"/>
      <c r="O29" s="395"/>
      <c r="P29" s="395"/>
      <c r="Q29" s="396"/>
      <c r="R29" s="127"/>
      <c r="S29" s="363"/>
    </row>
    <row r="30" spans="2:19">
      <c r="B30" s="38"/>
      <c r="C30" s="17" t="s">
        <v>297</v>
      </c>
      <c r="D30" s="17"/>
      <c r="E30" s="17"/>
      <c r="F30" s="17"/>
      <c r="G30" s="17"/>
      <c r="H30" s="17"/>
      <c r="I30" s="17"/>
      <c r="J30" s="17"/>
      <c r="K30" s="17"/>
      <c r="L30" s="122" t="b">
        <v>0</v>
      </c>
      <c r="M30" s="24"/>
      <c r="N30" s="395"/>
      <c r="O30" s="395"/>
      <c r="P30" s="395"/>
      <c r="Q30" s="396"/>
      <c r="R30" s="127" t="b">
        <v>0</v>
      </c>
      <c r="S30" s="361" t="str">
        <f>IF(N30="","",IF(L30=FALSE,"a",(IF(R30=TRUE,"a","r"))))</f>
        <v/>
      </c>
    </row>
    <row r="31" spans="2:19" ht="6.6" customHeight="1">
      <c r="B31" s="40"/>
      <c r="C31" s="41"/>
      <c r="D31" s="41"/>
      <c r="E31" s="41"/>
      <c r="F31" s="41"/>
      <c r="G31" s="41"/>
      <c r="H31" s="41"/>
      <c r="I31" s="41"/>
      <c r="J31" s="41"/>
      <c r="K31" s="41"/>
      <c r="L31" s="41"/>
      <c r="M31" s="33"/>
      <c r="N31" s="397"/>
      <c r="O31" s="397"/>
      <c r="P31" s="397"/>
      <c r="Q31" s="398"/>
      <c r="R31" s="23"/>
      <c r="S31" s="363"/>
    </row>
    <row r="32" spans="2:19" ht="14.25">
      <c r="M32" s="24"/>
      <c r="N32" s="25"/>
      <c r="O32" s="25"/>
      <c r="P32" s="25"/>
      <c r="Q32" s="25"/>
      <c r="R32" s="56"/>
      <c r="S32" s="26"/>
    </row>
    <row r="33" spans="2:21" ht="27" customHeight="1">
      <c r="B33" s="403" t="s">
        <v>471</v>
      </c>
      <c r="C33" s="403"/>
      <c r="D33" s="403"/>
      <c r="E33" s="403"/>
      <c r="F33" s="403"/>
      <c r="G33" s="403"/>
      <c r="H33" s="403"/>
      <c r="I33" s="403"/>
      <c r="J33" s="403"/>
      <c r="K33" s="403"/>
      <c r="L33" s="403"/>
      <c r="M33" s="403"/>
      <c r="N33" s="403"/>
      <c r="O33" s="403"/>
      <c r="P33" s="403"/>
      <c r="Q33" s="403"/>
      <c r="R33" s="403"/>
      <c r="S33" s="403"/>
    </row>
    <row r="34" spans="2:21" ht="15">
      <c r="B34" s="35" t="s">
        <v>239</v>
      </c>
      <c r="C34" s="13" t="s">
        <v>276</v>
      </c>
      <c r="D34" s="12"/>
      <c r="E34" s="12"/>
      <c r="F34" s="12"/>
      <c r="G34" s="12"/>
      <c r="H34" s="12"/>
      <c r="I34" s="12"/>
      <c r="J34" s="14"/>
      <c r="K34" s="14"/>
      <c r="M34" s="24"/>
      <c r="R34" s="56"/>
      <c r="S34" s="63" t="str">
        <f>IF(AND(S35="Compliant",S52="Compliant",S78="Compliant",S84="Compliant",OR(S90="Compliant",S90="Does not apply"),OR(S101="Compliant",S101="Does not apply"),OR(S121="Compliant",S121="Does not apply")),"Compliant","Not Compliant")</f>
        <v>Not Compliant</v>
      </c>
    </row>
    <row r="35" spans="2:21">
      <c r="B35" s="73" t="s">
        <v>281</v>
      </c>
      <c r="C35" s="74" t="s">
        <v>322</v>
      </c>
      <c r="D35" s="88"/>
      <c r="E35" s="88"/>
      <c r="F35" s="88"/>
      <c r="G35" s="88"/>
      <c r="H35" s="88"/>
      <c r="I35" s="88"/>
      <c r="J35" s="37"/>
      <c r="K35" s="84"/>
      <c r="L35" s="122"/>
      <c r="M35" s="24"/>
      <c r="R35" s="56"/>
      <c r="S35" s="63" t="str">
        <f>IF(AND(S36="a",S39="y",S47="y"),"Compliant",(IF(AND(S36="a",S39="a",S47="y"),"Compliant",(IF(AND(S36="a",S39="a",S47="a"),"Compliant","Not Compliant")))))</f>
        <v>Not Compliant</v>
      </c>
    </row>
    <row r="36" spans="2:21" ht="12.75" customHeight="1">
      <c r="B36" s="38"/>
      <c r="C36" s="368" t="s">
        <v>477</v>
      </c>
      <c r="D36" s="368"/>
      <c r="E36" s="368"/>
      <c r="F36" s="368"/>
      <c r="G36" s="368"/>
      <c r="H36" s="368"/>
      <c r="I36" s="368"/>
      <c r="J36" s="368"/>
      <c r="K36" s="85"/>
      <c r="L36" s="122" t="b">
        <v>0</v>
      </c>
      <c r="M36" s="24"/>
      <c r="N36" s="2" t="s">
        <v>313</v>
      </c>
      <c r="R36" s="126" t="b">
        <v>0</v>
      </c>
      <c r="S36" s="378" t="str">
        <f>IF(AND(L36=TRUE,R36=TRUE,R39=TRUE),"a","r")</f>
        <v>r</v>
      </c>
    </row>
    <row r="37" spans="2:21">
      <c r="B37" s="38"/>
      <c r="C37" s="368"/>
      <c r="D37" s="368"/>
      <c r="E37" s="368"/>
      <c r="F37" s="368"/>
      <c r="G37" s="368"/>
      <c r="H37" s="368"/>
      <c r="I37" s="368"/>
      <c r="J37" s="368"/>
      <c r="K37" s="85"/>
      <c r="L37" s="122"/>
      <c r="M37" s="24"/>
      <c r="R37" s="126"/>
      <c r="S37" s="378"/>
    </row>
    <row r="38" spans="2:21" ht="6" customHeight="1">
      <c r="B38" s="38"/>
      <c r="C38" s="17"/>
      <c r="D38" s="17"/>
      <c r="E38" s="17"/>
      <c r="F38" s="17"/>
      <c r="G38" s="17"/>
      <c r="H38" s="17"/>
      <c r="I38" s="17"/>
      <c r="J38" s="17"/>
      <c r="K38" s="85"/>
      <c r="L38" s="122"/>
      <c r="M38" s="24"/>
      <c r="R38" s="126"/>
      <c r="S38" s="378"/>
    </row>
    <row r="39" spans="2:21">
      <c r="B39" s="38"/>
      <c r="C39" s="17" t="s">
        <v>314</v>
      </c>
      <c r="D39" s="17"/>
      <c r="E39" s="17"/>
      <c r="F39" s="17"/>
      <c r="G39" s="17"/>
      <c r="H39" s="17"/>
      <c r="I39" s="17"/>
      <c r="J39" s="17"/>
      <c r="K39" s="85"/>
      <c r="L39" s="122" t="b">
        <v>0</v>
      </c>
      <c r="M39" s="24"/>
      <c r="N39" s="2" t="s">
        <v>409</v>
      </c>
      <c r="R39" s="126" t="b">
        <v>0</v>
      </c>
      <c r="S39" s="378" t="str">
        <f>IF(L39=TRUE,"a","y")</f>
        <v>y</v>
      </c>
    </row>
    <row r="40" spans="2:21" ht="6" customHeight="1">
      <c r="B40" s="38"/>
      <c r="C40" s="17"/>
      <c r="D40" s="17"/>
      <c r="E40" s="17"/>
      <c r="F40" s="17"/>
      <c r="G40" s="17"/>
      <c r="H40" s="17"/>
      <c r="I40" s="17"/>
      <c r="J40" s="17"/>
      <c r="K40" s="85"/>
      <c r="L40" s="122"/>
      <c r="M40" s="24"/>
      <c r="R40" s="126"/>
      <c r="S40" s="378"/>
    </row>
    <row r="41" spans="2:21" ht="25.5">
      <c r="B41" s="38"/>
      <c r="C41" s="17"/>
      <c r="D41" s="65" t="s">
        <v>315</v>
      </c>
      <c r="E41" s="66" t="s">
        <v>316</v>
      </c>
      <c r="F41" s="372" t="s">
        <v>317</v>
      </c>
      <c r="G41" s="372"/>
      <c r="H41" s="372"/>
      <c r="I41" s="381" t="s">
        <v>318</v>
      </c>
      <c r="J41" s="381"/>
      <c r="K41" s="85"/>
      <c r="L41" s="122"/>
      <c r="M41" s="24"/>
      <c r="R41" s="56"/>
      <c r="S41" s="378"/>
      <c r="U41" s="72"/>
    </row>
    <row r="42" spans="2:21" ht="15.75" customHeight="1">
      <c r="B42" s="38"/>
      <c r="C42" s="17"/>
      <c r="D42" s="385" t="s">
        <v>26</v>
      </c>
      <c r="E42" s="382" t="s">
        <v>319</v>
      </c>
      <c r="F42" s="369"/>
      <c r="G42" s="370"/>
      <c r="H42" s="371"/>
      <c r="I42" s="369"/>
      <c r="J42" s="371"/>
      <c r="K42" s="85"/>
      <c r="L42" s="122"/>
      <c r="M42" s="24"/>
      <c r="R42" s="56"/>
      <c r="S42" s="378"/>
    </row>
    <row r="43" spans="2:21" ht="15.75" customHeight="1">
      <c r="B43" s="38"/>
      <c r="C43" s="17"/>
      <c r="D43" s="386"/>
      <c r="E43" s="383"/>
      <c r="F43" s="369"/>
      <c r="G43" s="370"/>
      <c r="H43" s="371"/>
      <c r="I43" s="369"/>
      <c r="J43" s="371"/>
      <c r="K43" s="85"/>
      <c r="L43" s="122"/>
      <c r="M43" s="24"/>
      <c r="R43" s="56"/>
      <c r="S43" s="378"/>
    </row>
    <row r="44" spans="2:21" ht="15.75" customHeight="1">
      <c r="B44" s="38"/>
      <c r="C44" s="17"/>
      <c r="D44" s="387"/>
      <c r="E44" s="384"/>
      <c r="F44" s="369"/>
      <c r="G44" s="370"/>
      <c r="H44" s="371"/>
      <c r="I44" s="369"/>
      <c r="J44" s="371"/>
      <c r="K44" s="85"/>
      <c r="L44" s="122"/>
      <c r="M44" s="24"/>
      <c r="R44" s="56"/>
      <c r="S44" s="378"/>
    </row>
    <row r="45" spans="2:21" ht="15.75" customHeight="1">
      <c r="B45" s="38"/>
      <c r="C45" s="17"/>
      <c r="D45" s="37"/>
      <c r="E45" s="37"/>
      <c r="F45" s="37"/>
      <c r="G45" s="37"/>
      <c r="H45" s="37"/>
      <c r="I45" s="37"/>
      <c r="J45" s="37"/>
      <c r="K45" s="85"/>
      <c r="L45" s="122"/>
      <c r="M45" s="24"/>
      <c r="R45" s="56"/>
      <c r="S45" s="378"/>
    </row>
    <row r="46" spans="2:21" ht="6" customHeight="1">
      <c r="B46" s="38"/>
      <c r="C46" s="17"/>
      <c r="D46" s="17"/>
      <c r="E46" s="17"/>
      <c r="F46" s="17"/>
      <c r="G46" s="17"/>
      <c r="H46" s="17"/>
      <c r="I46" s="17"/>
      <c r="J46" s="17"/>
      <c r="K46" s="85"/>
      <c r="L46" s="122"/>
      <c r="M46" s="24"/>
      <c r="R46" s="56"/>
      <c r="S46" s="378"/>
    </row>
    <row r="47" spans="2:21">
      <c r="B47" s="38"/>
      <c r="C47" s="17" t="s">
        <v>320</v>
      </c>
      <c r="D47" s="17"/>
      <c r="E47" s="17"/>
      <c r="F47" s="17"/>
      <c r="G47" s="17"/>
      <c r="H47" s="17"/>
      <c r="I47" s="17"/>
      <c r="J47" s="17"/>
      <c r="K47" s="85"/>
      <c r="L47" s="122" t="b">
        <v>0</v>
      </c>
      <c r="M47" s="24"/>
      <c r="R47" s="56"/>
      <c r="S47" s="378" t="str">
        <f>IF(L47=TRUE,"a","y")</f>
        <v>y</v>
      </c>
    </row>
    <row r="48" spans="2:21" ht="6" customHeight="1">
      <c r="B48" s="38"/>
      <c r="C48" s="17"/>
      <c r="D48" s="17"/>
      <c r="E48" s="17"/>
      <c r="F48" s="17"/>
      <c r="G48" s="17"/>
      <c r="H48" s="17"/>
      <c r="I48" s="17"/>
      <c r="J48" s="17"/>
      <c r="K48" s="85"/>
      <c r="L48" s="122"/>
      <c r="M48" s="24"/>
      <c r="R48" s="56"/>
      <c r="S48" s="378"/>
    </row>
    <row r="49" spans="2:19" ht="27" customHeight="1">
      <c r="B49" s="38"/>
      <c r="C49" s="17"/>
      <c r="D49" s="379" t="s">
        <v>315</v>
      </c>
      <c r="E49" s="380"/>
      <c r="F49" s="372" t="s">
        <v>317</v>
      </c>
      <c r="G49" s="372"/>
      <c r="H49" s="372"/>
      <c r="I49" s="381" t="s">
        <v>318</v>
      </c>
      <c r="J49" s="381"/>
      <c r="K49" s="85"/>
      <c r="L49" s="122"/>
      <c r="M49" s="24"/>
      <c r="R49" s="56"/>
      <c r="S49" s="378"/>
    </row>
    <row r="50" spans="2:19" ht="52.5" customHeight="1">
      <c r="B50" s="38"/>
      <c r="C50" s="17"/>
      <c r="D50" s="374" t="s">
        <v>321</v>
      </c>
      <c r="E50" s="375"/>
      <c r="F50" s="369"/>
      <c r="G50" s="370"/>
      <c r="H50" s="371"/>
      <c r="I50" s="369"/>
      <c r="J50" s="371"/>
      <c r="K50" s="85"/>
      <c r="L50" s="122"/>
      <c r="M50" s="24"/>
      <c r="R50" s="56"/>
      <c r="S50" s="378"/>
    </row>
    <row r="51" spans="2:19" ht="6" customHeight="1">
      <c r="B51" s="38"/>
      <c r="C51" s="17"/>
      <c r="D51" s="17"/>
      <c r="E51" s="17"/>
      <c r="F51" s="17"/>
      <c r="G51" s="17"/>
      <c r="H51" s="17"/>
      <c r="I51" s="17"/>
      <c r="J51" s="17"/>
      <c r="K51" s="85"/>
      <c r="L51" s="122"/>
      <c r="M51" s="24"/>
      <c r="R51" s="56"/>
      <c r="S51" s="378"/>
    </row>
    <row r="52" spans="2:19">
      <c r="B52" s="60" t="s">
        <v>282</v>
      </c>
      <c r="C52" s="55" t="s">
        <v>323</v>
      </c>
      <c r="D52" s="17"/>
      <c r="E52" s="17"/>
      <c r="F52" s="17"/>
      <c r="G52" s="17"/>
      <c r="H52" s="17"/>
      <c r="I52" s="17"/>
      <c r="J52" s="17"/>
      <c r="K52" s="85"/>
      <c r="L52" s="122"/>
      <c r="M52" s="24"/>
      <c r="R52" s="56"/>
      <c r="S52" s="63" t="str">
        <f>IF(S53="a","Compliant",IF(AND(S53="a"),"Compliant","Not Compliant"))</f>
        <v>Not Compliant</v>
      </c>
    </row>
    <row r="53" spans="2:19">
      <c r="B53" s="38"/>
      <c r="C53" s="368" t="s">
        <v>476</v>
      </c>
      <c r="D53" s="368"/>
      <c r="E53" s="368"/>
      <c r="F53" s="368"/>
      <c r="G53" s="368"/>
      <c r="H53" s="368"/>
      <c r="I53" s="368"/>
      <c r="J53" s="368"/>
      <c r="K53" s="85"/>
      <c r="L53" s="122" t="b">
        <v>0</v>
      </c>
      <c r="M53" s="24"/>
      <c r="R53" s="56"/>
      <c r="S53" s="378" t="str">
        <f>IF(AND(L53=TRUE,R36=TRUE,R39=TRUE),"a","r")</f>
        <v>r</v>
      </c>
    </row>
    <row r="54" spans="2:19">
      <c r="B54" s="38"/>
      <c r="C54" s="368"/>
      <c r="D54" s="368"/>
      <c r="E54" s="368"/>
      <c r="F54" s="368"/>
      <c r="G54" s="368"/>
      <c r="H54" s="368"/>
      <c r="I54" s="368"/>
      <c r="J54" s="368"/>
      <c r="K54" s="85"/>
      <c r="L54" s="122"/>
      <c r="M54" s="24"/>
      <c r="R54" s="56"/>
      <c r="S54" s="378"/>
    </row>
    <row r="55" spans="2:19" ht="6" customHeight="1">
      <c r="B55" s="38"/>
      <c r="C55" s="17"/>
      <c r="D55" s="17"/>
      <c r="E55" s="17"/>
      <c r="F55" s="17"/>
      <c r="G55" s="17"/>
      <c r="H55" s="17"/>
      <c r="I55" s="17"/>
      <c r="J55" s="17"/>
      <c r="K55" s="85"/>
      <c r="L55" s="122"/>
      <c r="M55" s="24"/>
      <c r="R55" s="56"/>
      <c r="S55" s="378"/>
    </row>
    <row r="56" spans="2:19" ht="1.5" customHeight="1">
      <c r="B56" s="38"/>
      <c r="C56" s="17"/>
      <c r="D56" s="17"/>
      <c r="E56" s="17"/>
      <c r="F56" s="17"/>
      <c r="G56" s="17"/>
      <c r="H56" s="17"/>
      <c r="I56" s="17"/>
      <c r="J56" s="17"/>
      <c r="K56" s="85"/>
      <c r="L56" s="122" t="b">
        <v>0</v>
      </c>
      <c r="M56" s="24"/>
      <c r="N56"/>
      <c r="R56" s="56"/>
      <c r="S56" s="361"/>
    </row>
    <row r="57" spans="2:19" ht="1.5" customHeight="1">
      <c r="B57" s="38"/>
      <c r="C57" s="17"/>
      <c r="D57" s="17"/>
      <c r="E57" s="17"/>
      <c r="F57" s="17"/>
      <c r="G57" s="17"/>
      <c r="H57" s="17"/>
      <c r="I57" s="17"/>
      <c r="J57" s="17"/>
      <c r="K57" s="85"/>
      <c r="L57" s="122"/>
      <c r="M57" s="24"/>
      <c r="R57" s="56"/>
      <c r="S57" s="362"/>
    </row>
    <row r="58" spans="2:19" ht="2.25" customHeight="1">
      <c r="B58" s="38"/>
      <c r="C58" s="17"/>
      <c r="D58" s="17"/>
      <c r="E58" s="17"/>
      <c r="F58" s="17"/>
      <c r="G58" s="17"/>
      <c r="H58" s="17"/>
      <c r="I58" s="17"/>
      <c r="J58" s="17"/>
      <c r="K58" s="85"/>
      <c r="L58" s="122"/>
      <c r="M58" s="24"/>
      <c r="R58" s="56"/>
      <c r="S58" s="362"/>
    </row>
    <row r="59" spans="2:19" ht="3" customHeight="1">
      <c r="B59" s="38"/>
      <c r="C59" s="17"/>
      <c r="D59" s="17"/>
      <c r="E59" s="17"/>
      <c r="F59" s="17"/>
      <c r="G59" s="17"/>
      <c r="H59" s="17"/>
      <c r="I59" s="17"/>
      <c r="J59" s="17"/>
      <c r="K59" s="85"/>
      <c r="L59" s="122"/>
      <c r="M59" s="24"/>
      <c r="R59" s="56"/>
      <c r="S59" s="362"/>
    </row>
    <row r="60" spans="2:19" ht="1.5" customHeight="1">
      <c r="B60" s="38"/>
      <c r="C60" s="17"/>
      <c r="D60" s="17"/>
      <c r="E60" s="17"/>
      <c r="F60" s="17"/>
      <c r="G60" s="17"/>
      <c r="H60" s="17"/>
      <c r="I60" s="17"/>
      <c r="J60" s="17"/>
      <c r="K60" s="85"/>
      <c r="L60" s="122"/>
      <c r="M60" s="24"/>
      <c r="R60" s="56"/>
      <c r="S60" s="362"/>
    </row>
    <row r="61" spans="2:19" ht="1.5" customHeight="1">
      <c r="B61" s="38"/>
      <c r="C61" s="17"/>
      <c r="D61" s="17"/>
      <c r="E61" s="17"/>
      <c r="F61" s="17"/>
      <c r="G61" s="17"/>
      <c r="H61" s="17"/>
      <c r="I61" s="17"/>
      <c r="J61" s="17"/>
      <c r="K61" s="85"/>
      <c r="L61" s="122"/>
      <c r="M61" s="24"/>
      <c r="R61" s="56"/>
      <c r="S61" s="362"/>
    </row>
    <row r="62" spans="2:19" ht="0.75" hidden="1" customHeight="1">
      <c r="B62" s="38"/>
      <c r="C62" s="17"/>
      <c r="D62" s="17"/>
      <c r="E62" s="17"/>
      <c r="F62" s="17"/>
      <c r="G62" s="17"/>
      <c r="H62" s="17"/>
      <c r="I62" s="17"/>
      <c r="J62" s="17"/>
      <c r="K62" s="85"/>
      <c r="L62" s="122"/>
      <c r="M62" s="24"/>
      <c r="R62" s="56"/>
      <c r="S62" s="362"/>
    </row>
    <row r="63" spans="2:19" ht="6" hidden="1" customHeight="1">
      <c r="B63" s="38"/>
      <c r="C63" s="17"/>
      <c r="D63" s="17"/>
      <c r="E63" s="17"/>
      <c r="F63" s="17"/>
      <c r="G63" s="17"/>
      <c r="H63" s="17"/>
      <c r="I63" s="17"/>
      <c r="J63" s="17"/>
      <c r="K63" s="85"/>
      <c r="L63" s="122"/>
      <c r="M63" s="24"/>
      <c r="R63" s="56"/>
      <c r="S63" s="363"/>
    </row>
    <row r="64" spans="2:19" hidden="1">
      <c r="B64" s="60"/>
      <c r="C64" s="55"/>
      <c r="D64" s="17"/>
      <c r="E64" s="17"/>
      <c r="F64" s="17"/>
      <c r="G64" s="17"/>
      <c r="H64" s="17"/>
      <c r="I64" s="17"/>
      <c r="J64" s="17"/>
      <c r="K64" s="85"/>
      <c r="L64" s="122"/>
      <c r="M64" s="24"/>
      <c r="R64" s="56"/>
      <c r="S64" s="63"/>
    </row>
    <row r="65" spans="2:19" ht="0.75" customHeight="1">
      <c r="B65" s="38"/>
      <c r="C65" s="368"/>
      <c r="D65" s="368"/>
      <c r="E65" s="368"/>
      <c r="F65" s="368"/>
      <c r="G65" s="368"/>
      <c r="H65" s="368"/>
      <c r="I65" s="368"/>
      <c r="J65" s="368"/>
      <c r="K65" s="85"/>
      <c r="L65" s="122"/>
      <c r="M65" s="24"/>
      <c r="R65" s="56"/>
      <c r="S65" s="361"/>
    </row>
    <row r="66" spans="2:19" ht="12.75" hidden="1" customHeight="1">
      <c r="B66" s="38"/>
      <c r="C66" s="368"/>
      <c r="D66" s="368"/>
      <c r="E66" s="368"/>
      <c r="F66" s="368"/>
      <c r="G66" s="368"/>
      <c r="H66" s="368"/>
      <c r="I66" s="368"/>
      <c r="J66" s="368"/>
      <c r="K66" s="85"/>
      <c r="L66" s="122"/>
      <c r="M66" s="24"/>
      <c r="R66" s="56"/>
      <c r="S66" s="362"/>
    </row>
    <row r="67" spans="2:19" ht="0.75" hidden="1" customHeight="1">
      <c r="B67" s="38"/>
      <c r="C67" s="368"/>
      <c r="D67" s="368"/>
      <c r="E67" s="368"/>
      <c r="F67" s="368"/>
      <c r="G67" s="368"/>
      <c r="H67" s="90"/>
      <c r="I67" s="90"/>
      <c r="J67" s="90"/>
      <c r="K67" s="85"/>
      <c r="L67" s="122"/>
      <c r="M67" s="24"/>
      <c r="R67" s="56"/>
      <c r="S67" s="362"/>
    </row>
    <row r="68" spans="2:19" hidden="1">
      <c r="B68" s="38"/>
      <c r="C68" s="17"/>
      <c r="D68" s="17"/>
      <c r="E68" s="17"/>
      <c r="F68" s="17"/>
      <c r="G68" s="17"/>
      <c r="H68" s="17"/>
      <c r="I68" s="17"/>
      <c r="J68" s="17"/>
      <c r="K68" s="85"/>
      <c r="L68" s="122"/>
      <c r="M68" s="24"/>
      <c r="R68" s="56"/>
      <c r="S68" s="363"/>
    </row>
    <row r="69" spans="2:19" hidden="1">
      <c r="B69" s="38"/>
      <c r="C69" s="368"/>
      <c r="D69" s="368"/>
      <c r="E69" s="368"/>
      <c r="F69" s="368"/>
      <c r="G69" s="368"/>
      <c r="H69" s="368"/>
      <c r="I69" s="368"/>
      <c r="J69" s="368"/>
      <c r="K69" s="85"/>
      <c r="L69" s="122"/>
      <c r="M69" s="24"/>
      <c r="R69" s="56"/>
      <c r="S69" s="361"/>
    </row>
    <row r="70" spans="2:19" hidden="1">
      <c r="B70" s="38"/>
      <c r="C70" s="368"/>
      <c r="D70" s="368"/>
      <c r="E70" s="368"/>
      <c r="F70" s="368"/>
      <c r="G70" s="368"/>
      <c r="H70" s="368"/>
      <c r="I70" s="368"/>
      <c r="J70" s="368"/>
      <c r="K70" s="85"/>
      <c r="L70" s="122"/>
      <c r="M70" s="24"/>
      <c r="R70" s="56"/>
      <c r="S70" s="362"/>
    </row>
    <row r="71" spans="2:19" hidden="1">
      <c r="B71" s="38"/>
      <c r="C71" s="17"/>
      <c r="D71" s="17"/>
      <c r="E71" s="17"/>
      <c r="F71" s="17"/>
      <c r="G71" s="17"/>
      <c r="H71" s="17"/>
      <c r="I71" s="17"/>
      <c r="J71" s="17"/>
      <c r="K71" s="85"/>
      <c r="L71" s="122"/>
      <c r="M71" s="24"/>
      <c r="R71" s="56"/>
      <c r="S71" s="362"/>
    </row>
    <row r="72" spans="2:19" hidden="1">
      <c r="B72" s="38"/>
      <c r="C72" s="17"/>
      <c r="D72" s="17"/>
      <c r="E72" s="17"/>
      <c r="F72" s="17"/>
      <c r="G72" s="17"/>
      <c r="H72" s="17"/>
      <c r="I72" s="17"/>
      <c r="J72" s="17"/>
      <c r="K72" s="85"/>
      <c r="L72" s="122"/>
      <c r="M72" s="24"/>
      <c r="R72" s="56"/>
      <c r="S72" s="362"/>
    </row>
    <row r="73" spans="2:19" ht="15.75" hidden="1" customHeight="1">
      <c r="B73" s="38"/>
      <c r="C73" s="17"/>
      <c r="D73" s="17"/>
      <c r="E73" s="17"/>
      <c r="F73" s="17"/>
      <c r="G73" s="17"/>
      <c r="H73" s="17"/>
      <c r="I73" s="17"/>
      <c r="J73" s="17"/>
      <c r="K73" s="85"/>
      <c r="L73" s="122"/>
      <c r="M73" s="24"/>
      <c r="R73" s="56"/>
      <c r="S73" s="362"/>
    </row>
    <row r="74" spans="2:19" ht="15.75" hidden="1" customHeight="1">
      <c r="B74" s="38"/>
      <c r="C74" s="17"/>
      <c r="D74" s="17"/>
      <c r="E74" s="17"/>
      <c r="F74" s="17"/>
      <c r="G74" s="17"/>
      <c r="H74" s="17"/>
      <c r="I74" s="17"/>
      <c r="J74" s="17"/>
      <c r="K74" s="85"/>
      <c r="L74" s="122"/>
      <c r="M74" s="24"/>
      <c r="R74" s="56"/>
      <c r="S74" s="362"/>
    </row>
    <row r="75" spans="2:19" ht="15.75" hidden="1" customHeight="1">
      <c r="B75" s="38"/>
      <c r="C75" s="17"/>
      <c r="D75" s="17"/>
      <c r="E75" s="17"/>
      <c r="F75" s="17"/>
      <c r="G75" s="17"/>
      <c r="H75" s="17"/>
      <c r="I75" s="17"/>
      <c r="J75" s="17"/>
      <c r="K75" s="85"/>
      <c r="L75" s="122"/>
      <c r="M75" s="24"/>
      <c r="R75" s="56"/>
      <c r="S75" s="362"/>
    </row>
    <row r="76" spans="2:19" ht="15.75" hidden="1" customHeight="1">
      <c r="B76" s="38"/>
      <c r="C76" s="17"/>
      <c r="D76" s="17"/>
      <c r="E76" s="17"/>
      <c r="F76" s="17"/>
      <c r="G76" s="17"/>
      <c r="H76" s="17"/>
      <c r="I76" s="17"/>
      <c r="J76" s="17"/>
      <c r="K76" s="85"/>
      <c r="L76" s="122"/>
      <c r="M76" s="24"/>
      <c r="R76" s="56"/>
      <c r="S76" s="362"/>
    </row>
    <row r="77" spans="2:19" hidden="1">
      <c r="B77" s="40"/>
      <c r="C77" s="41"/>
      <c r="D77" s="41"/>
      <c r="E77" s="41"/>
      <c r="F77" s="41"/>
      <c r="G77" s="41"/>
      <c r="H77" s="41"/>
      <c r="I77" s="41"/>
      <c r="J77" s="41"/>
      <c r="K77" s="87"/>
      <c r="L77" s="122"/>
      <c r="M77" s="24"/>
      <c r="R77" s="56"/>
      <c r="S77" s="363"/>
    </row>
    <row r="78" spans="2:19" ht="15">
      <c r="B78" s="75" t="s">
        <v>242</v>
      </c>
      <c r="C78" s="76" t="s">
        <v>324</v>
      </c>
      <c r="D78" s="77"/>
      <c r="E78" s="77"/>
      <c r="F78" s="77"/>
      <c r="G78" s="77"/>
      <c r="H78" s="77"/>
      <c r="I78" s="77"/>
      <c r="J78" s="78"/>
      <c r="K78" s="79"/>
      <c r="L78" s="122"/>
      <c r="M78" s="24"/>
      <c r="R78" s="56"/>
      <c r="S78" s="144" t="str">
        <f>IF(AND(S79="a",S81="a"),"Compliant","Not Compliant")</f>
        <v>Not Compliant</v>
      </c>
    </row>
    <row r="79" spans="2:19">
      <c r="B79" s="36"/>
      <c r="C79" s="373" t="s">
        <v>326</v>
      </c>
      <c r="D79" s="373"/>
      <c r="E79" s="373"/>
      <c r="F79" s="373"/>
      <c r="G79" s="373"/>
      <c r="H79" s="373"/>
      <c r="I79" s="373"/>
      <c r="J79" s="373"/>
      <c r="K79" s="84"/>
      <c r="L79" s="122" t="b">
        <v>0</v>
      </c>
      <c r="M79" s="24"/>
      <c r="R79" s="56"/>
      <c r="S79" s="378" t="str">
        <f>IF(L79=TRUE,"a","r")</f>
        <v>r</v>
      </c>
    </row>
    <row r="80" spans="2:19">
      <c r="B80" s="38"/>
      <c r="C80" s="368"/>
      <c r="D80" s="368"/>
      <c r="E80" s="368"/>
      <c r="F80" s="368"/>
      <c r="G80" s="368"/>
      <c r="H80" s="368"/>
      <c r="I80" s="368"/>
      <c r="J80" s="368"/>
      <c r="K80" s="85"/>
      <c r="L80" s="122"/>
      <c r="M80" s="24"/>
      <c r="R80" s="56"/>
      <c r="S80" s="378"/>
    </row>
    <row r="81" spans="2:19" ht="6" customHeight="1">
      <c r="B81" s="38"/>
      <c r="C81" s="17"/>
      <c r="D81" s="17"/>
      <c r="E81" s="17"/>
      <c r="F81" s="17"/>
      <c r="G81" s="17"/>
      <c r="H81" s="17"/>
      <c r="I81" s="17"/>
      <c r="J81" s="17"/>
      <c r="K81" s="85"/>
      <c r="L81" s="122"/>
      <c r="M81" s="24"/>
      <c r="R81" s="56"/>
      <c r="S81" s="378" t="str">
        <f>IF(L82=TRUE,"a","r")</f>
        <v>r</v>
      </c>
    </row>
    <row r="82" spans="2:19">
      <c r="B82" s="38"/>
      <c r="C82" s="17" t="s">
        <v>325</v>
      </c>
      <c r="D82" s="17"/>
      <c r="E82" s="17"/>
      <c r="F82" s="17"/>
      <c r="G82" s="17"/>
      <c r="H82" s="17"/>
      <c r="I82" s="17"/>
      <c r="J82" s="17"/>
      <c r="K82" s="85"/>
      <c r="L82" s="122" t="b">
        <v>0</v>
      </c>
      <c r="M82" s="24"/>
      <c r="R82" s="56"/>
      <c r="S82" s="378"/>
    </row>
    <row r="83" spans="2:19" ht="6" customHeight="1">
      <c r="B83" s="38"/>
      <c r="C83" s="17"/>
      <c r="D83" s="17"/>
      <c r="E83" s="17"/>
      <c r="F83" s="17"/>
      <c r="G83" s="17"/>
      <c r="H83" s="17"/>
      <c r="I83" s="17"/>
      <c r="J83" s="17"/>
      <c r="K83" s="85"/>
      <c r="L83" s="122"/>
      <c r="M83" s="24"/>
      <c r="R83" s="56"/>
      <c r="S83" s="378"/>
    </row>
    <row r="84" spans="2:19" ht="15">
      <c r="B84" s="75" t="s">
        <v>280</v>
      </c>
      <c r="C84" s="76" t="s">
        <v>327</v>
      </c>
      <c r="D84" s="77"/>
      <c r="E84" s="77"/>
      <c r="F84" s="77"/>
      <c r="G84" s="77"/>
      <c r="H84" s="77"/>
      <c r="I84" s="77"/>
      <c r="J84" s="78"/>
      <c r="K84" s="79"/>
      <c r="L84" s="122"/>
      <c r="M84" s="24"/>
      <c r="R84" s="56"/>
      <c r="S84" s="63" t="str">
        <f>IF(AND(S85="a",S87="a"),"Compliant","Not Compliant")</f>
        <v>Not Compliant</v>
      </c>
    </row>
    <row r="85" spans="2:19">
      <c r="B85" s="36"/>
      <c r="C85" s="373" t="s">
        <v>328</v>
      </c>
      <c r="D85" s="373"/>
      <c r="E85" s="373"/>
      <c r="F85" s="373"/>
      <c r="G85" s="373"/>
      <c r="H85" s="373"/>
      <c r="I85" s="373"/>
      <c r="J85" s="373"/>
      <c r="K85" s="84"/>
      <c r="L85" s="122" t="b">
        <v>0</v>
      </c>
      <c r="M85" s="24"/>
      <c r="R85" s="56"/>
      <c r="S85" s="361" t="str">
        <f>IF(L85=TRUE,"a","r")</f>
        <v>r</v>
      </c>
    </row>
    <row r="86" spans="2:19">
      <c r="B86" s="38"/>
      <c r="C86" s="368"/>
      <c r="D86" s="368"/>
      <c r="E86" s="368"/>
      <c r="F86" s="368"/>
      <c r="G86" s="368"/>
      <c r="H86" s="368"/>
      <c r="I86" s="368"/>
      <c r="J86" s="368"/>
      <c r="K86" s="85"/>
      <c r="L86" s="122"/>
      <c r="M86" s="24"/>
      <c r="R86" s="56"/>
      <c r="S86" s="363"/>
    </row>
    <row r="87" spans="2:19" ht="6" customHeight="1">
      <c r="B87" s="38"/>
      <c r="C87" s="17"/>
      <c r="D87" s="17"/>
      <c r="E87" s="17"/>
      <c r="F87" s="17"/>
      <c r="G87" s="17"/>
      <c r="H87" s="17"/>
      <c r="I87" s="17"/>
      <c r="J87" s="17"/>
      <c r="K87" s="85"/>
      <c r="L87" s="122"/>
      <c r="M87" s="24"/>
      <c r="R87" s="56"/>
      <c r="S87" s="361" t="str">
        <f>IF(L88=TRUE,"a","r")</f>
        <v>r</v>
      </c>
    </row>
    <row r="88" spans="2:19">
      <c r="B88" s="38"/>
      <c r="C88" s="17" t="s">
        <v>329</v>
      </c>
      <c r="D88" s="17"/>
      <c r="E88" s="17"/>
      <c r="F88" s="17"/>
      <c r="G88" s="17"/>
      <c r="H88" s="17"/>
      <c r="I88" s="17"/>
      <c r="J88" s="17"/>
      <c r="K88" s="85"/>
      <c r="L88" s="122" t="b">
        <v>0</v>
      </c>
      <c r="M88" s="24"/>
      <c r="R88" s="56"/>
      <c r="S88" s="362"/>
    </row>
    <row r="89" spans="2:19" ht="6" customHeight="1">
      <c r="B89" s="40"/>
      <c r="C89" s="41"/>
      <c r="D89" s="41"/>
      <c r="E89" s="41"/>
      <c r="F89" s="41"/>
      <c r="G89" s="41"/>
      <c r="H89" s="41"/>
      <c r="I89" s="41"/>
      <c r="J89" s="41"/>
      <c r="K89" s="87"/>
      <c r="L89" s="122"/>
      <c r="M89" s="24"/>
      <c r="R89" s="56"/>
      <c r="S89" s="363"/>
    </row>
    <row r="90" spans="2:19" ht="15">
      <c r="B90" s="75" t="s">
        <v>283</v>
      </c>
      <c r="C90" s="76" t="s">
        <v>330</v>
      </c>
      <c r="D90" s="77"/>
      <c r="E90" s="77"/>
      <c r="F90" s="77"/>
      <c r="G90" s="77"/>
      <c r="H90" s="77"/>
      <c r="I90" s="77"/>
      <c r="J90" s="78"/>
      <c r="K90" s="79"/>
      <c r="L90" s="122"/>
      <c r="M90" s="24"/>
      <c r="R90" s="56"/>
      <c r="S90" s="63" t="str">
        <f>IF(S91="Does not apply","Does not apply",IF(OR(S98="a"),"Compliant","Not Compliant"))</f>
        <v>Not Compliant</v>
      </c>
    </row>
    <row r="91" spans="2:19">
      <c r="B91" s="36"/>
      <c r="C91" s="37" t="s">
        <v>331</v>
      </c>
      <c r="D91" s="37"/>
      <c r="E91" s="37"/>
      <c r="F91" s="37"/>
      <c r="G91" s="37"/>
      <c r="H91" s="37"/>
      <c r="I91" s="37"/>
      <c r="J91" s="37"/>
      <c r="K91" s="84"/>
      <c r="L91" s="122" t="b">
        <v>0</v>
      </c>
      <c r="M91" s="24"/>
      <c r="R91" s="56"/>
      <c r="S91" s="365" t="str">
        <f>IF(L91=TRUE,"Does not apply","-")</f>
        <v>-</v>
      </c>
    </row>
    <row r="92" spans="2:19" ht="6" customHeight="1">
      <c r="B92" s="38"/>
      <c r="C92" s="17"/>
      <c r="D92" s="17"/>
      <c r="E92" s="17"/>
      <c r="F92" s="17"/>
      <c r="G92" s="17"/>
      <c r="H92" s="17"/>
      <c r="I92" s="17"/>
      <c r="J92" s="17"/>
      <c r="K92" s="85"/>
      <c r="L92" s="122"/>
      <c r="M92" s="24"/>
      <c r="R92" s="56"/>
      <c r="S92" s="366"/>
    </row>
    <row r="93" spans="2:19" ht="0.75" hidden="1" customHeight="1">
      <c r="B93" s="38"/>
      <c r="C93" s="376"/>
      <c r="D93" s="376"/>
      <c r="E93" s="376"/>
      <c r="F93" s="376"/>
      <c r="G93" s="376"/>
      <c r="H93" s="376"/>
      <c r="I93" s="376"/>
      <c r="J93" s="376"/>
      <c r="K93" s="85"/>
      <c r="L93" s="122"/>
      <c r="M93" s="24"/>
      <c r="R93" s="56"/>
      <c r="S93" s="361"/>
    </row>
    <row r="94" spans="2:19" ht="0.75" hidden="1" customHeight="1">
      <c r="B94" s="38"/>
      <c r="C94" s="376"/>
      <c r="D94" s="376"/>
      <c r="E94" s="376"/>
      <c r="F94" s="376"/>
      <c r="G94" s="376"/>
      <c r="H94" s="376"/>
      <c r="I94" s="376"/>
      <c r="J94" s="376"/>
      <c r="K94" s="85"/>
      <c r="L94" s="122"/>
      <c r="M94" s="24"/>
      <c r="R94" s="56"/>
      <c r="S94" s="362"/>
    </row>
    <row r="95" spans="2:19" ht="0.75" hidden="1" customHeight="1">
      <c r="B95" s="38"/>
      <c r="C95" s="17"/>
      <c r="D95" s="17"/>
      <c r="E95" s="17"/>
      <c r="F95" s="17"/>
      <c r="G95" s="17"/>
      <c r="H95" s="17"/>
      <c r="I95" s="17"/>
      <c r="J95" s="17"/>
      <c r="K95" s="85"/>
      <c r="L95" s="122"/>
      <c r="M95" s="24"/>
      <c r="R95" s="56"/>
      <c r="S95" s="363"/>
    </row>
    <row r="96" spans="2:19" ht="0.75" hidden="1" customHeight="1">
      <c r="B96" s="38"/>
      <c r="C96" s="17"/>
      <c r="D96" s="17"/>
      <c r="E96" s="17"/>
      <c r="F96" s="17"/>
      <c r="G96" s="17"/>
      <c r="H96" s="17"/>
      <c r="I96" s="17"/>
      <c r="J96" s="17"/>
      <c r="K96" s="85"/>
      <c r="L96" s="122"/>
      <c r="M96" s="24"/>
      <c r="R96" s="56"/>
      <c r="S96" s="361"/>
    </row>
    <row r="97" spans="2:19" ht="0.75" hidden="1" customHeight="1">
      <c r="B97" s="38"/>
      <c r="C97" s="17"/>
      <c r="D97" s="17"/>
      <c r="E97" s="17"/>
      <c r="F97" s="17"/>
      <c r="G97" s="17"/>
      <c r="H97" s="17"/>
      <c r="I97" s="17"/>
      <c r="J97" s="17"/>
      <c r="K97" s="85"/>
      <c r="L97" s="122"/>
      <c r="M97" s="24"/>
      <c r="R97" s="56"/>
      <c r="S97" s="363"/>
    </row>
    <row r="98" spans="2:19">
      <c r="B98" s="38"/>
      <c r="C98" s="368" t="s">
        <v>332</v>
      </c>
      <c r="D98" s="368"/>
      <c r="E98" s="368"/>
      <c r="F98" s="368"/>
      <c r="G98" s="368"/>
      <c r="H98" s="368"/>
      <c r="I98" s="368"/>
      <c r="J98" s="368"/>
      <c r="K98" s="85"/>
      <c r="L98" s="122" t="b">
        <v>0</v>
      </c>
      <c r="M98" s="24"/>
      <c r="R98" s="56"/>
      <c r="S98" s="361" t="str">
        <f>IF(L98=TRUE,"a","r")</f>
        <v>r</v>
      </c>
    </row>
    <row r="99" spans="2:19">
      <c r="B99" s="38"/>
      <c r="C99" s="368"/>
      <c r="D99" s="368"/>
      <c r="E99" s="368"/>
      <c r="F99" s="368"/>
      <c r="G99" s="368"/>
      <c r="H99" s="368"/>
      <c r="I99" s="368"/>
      <c r="J99" s="368"/>
      <c r="K99" s="85"/>
      <c r="L99" s="122"/>
      <c r="M99" s="24"/>
      <c r="R99" s="56"/>
      <c r="S99" s="362"/>
    </row>
    <row r="100" spans="2:19" ht="6" customHeight="1">
      <c r="B100" s="40"/>
      <c r="C100" s="41"/>
      <c r="D100" s="41"/>
      <c r="E100" s="41"/>
      <c r="F100" s="41"/>
      <c r="G100" s="41"/>
      <c r="H100" s="41"/>
      <c r="I100" s="41"/>
      <c r="J100" s="41"/>
      <c r="K100" s="87"/>
      <c r="L100" s="122"/>
      <c r="M100" s="24"/>
      <c r="R100" s="56"/>
      <c r="S100" s="363"/>
    </row>
    <row r="101" spans="2:19" ht="15">
      <c r="B101" s="75" t="s">
        <v>333</v>
      </c>
      <c r="C101" s="76" t="s">
        <v>334</v>
      </c>
      <c r="D101" s="77"/>
      <c r="E101" s="77"/>
      <c r="F101" s="77"/>
      <c r="G101" s="77"/>
      <c r="H101" s="77"/>
      <c r="I101" s="77"/>
      <c r="J101" s="78"/>
      <c r="K101" s="79"/>
      <c r="L101" s="122"/>
      <c r="M101" s="24"/>
      <c r="R101" s="56"/>
      <c r="S101" s="63" t="str">
        <f>IF(S102="Does not apply","Does not apply",IF(AND(S104="a",S107="a",S110="a"),"Compliant",IF(AND(S104="a", S110="a"),"Compliant","Not Compliant")))</f>
        <v>Not Compliant</v>
      </c>
    </row>
    <row r="102" spans="2:19">
      <c r="B102" s="36"/>
      <c r="C102" s="37" t="s">
        <v>340</v>
      </c>
      <c r="D102" s="37"/>
      <c r="E102" s="37"/>
      <c r="F102" s="37"/>
      <c r="G102" s="37"/>
      <c r="H102" s="37"/>
      <c r="I102" s="37"/>
      <c r="J102" s="37"/>
      <c r="K102" s="84"/>
      <c r="L102" s="122" t="b">
        <v>0</v>
      </c>
      <c r="M102" s="24"/>
      <c r="R102" s="56"/>
      <c r="S102" s="365" t="str">
        <f>IF(L102=TRUE,"Does not apply","-")</f>
        <v>-</v>
      </c>
    </row>
    <row r="103" spans="2:19" ht="6" customHeight="1">
      <c r="B103" s="38"/>
      <c r="C103" s="17"/>
      <c r="D103" s="17"/>
      <c r="E103" s="17"/>
      <c r="F103" s="17"/>
      <c r="G103" s="17"/>
      <c r="H103" s="17"/>
      <c r="I103" s="17"/>
      <c r="J103" s="17"/>
      <c r="K103" s="85"/>
      <c r="L103" s="122"/>
      <c r="M103" s="24"/>
      <c r="R103" s="56"/>
      <c r="S103" s="366"/>
    </row>
    <row r="104" spans="2:19">
      <c r="B104" s="38"/>
      <c r="C104" s="376" t="s">
        <v>335</v>
      </c>
      <c r="D104" s="376"/>
      <c r="E104" s="376"/>
      <c r="F104" s="376"/>
      <c r="G104" s="376"/>
      <c r="H104" s="376"/>
      <c r="I104" s="376"/>
      <c r="J104" s="376"/>
      <c r="K104" s="85"/>
      <c r="L104" s="122" t="b">
        <v>0</v>
      </c>
      <c r="M104" s="24"/>
      <c r="R104" s="56"/>
      <c r="S104" s="361" t="str">
        <f>IF(L104=TRUE,"a","r")</f>
        <v>r</v>
      </c>
    </row>
    <row r="105" spans="2:19">
      <c r="B105" s="38"/>
      <c r="C105" s="376"/>
      <c r="D105" s="376"/>
      <c r="E105" s="376"/>
      <c r="F105" s="376"/>
      <c r="G105" s="376"/>
      <c r="H105" s="376"/>
      <c r="I105" s="376"/>
      <c r="J105" s="376"/>
      <c r="K105" s="85"/>
      <c r="L105" s="122"/>
      <c r="M105" s="24"/>
      <c r="R105" s="56"/>
      <c r="S105" s="362"/>
    </row>
    <row r="106" spans="2:19" ht="6" customHeight="1">
      <c r="B106" s="38"/>
      <c r="C106" s="17"/>
      <c r="D106" s="17"/>
      <c r="E106" s="17"/>
      <c r="F106" s="17"/>
      <c r="G106" s="17"/>
      <c r="H106" s="17"/>
      <c r="I106" s="17"/>
      <c r="J106" s="17"/>
      <c r="K106" s="85"/>
      <c r="L106" s="122"/>
      <c r="M106" s="24"/>
      <c r="R106" s="56"/>
      <c r="S106" s="363"/>
    </row>
    <row r="107" spans="2:19">
      <c r="B107" s="38"/>
      <c r="C107" s="368" t="s">
        <v>336</v>
      </c>
      <c r="D107" s="368"/>
      <c r="E107" s="368"/>
      <c r="F107" s="368"/>
      <c r="G107" s="368"/>
      <c r="H107" s="368"/>
      <c r="I107" s="368"/>
      <c r="J107" s="368"/>
      <c r="K107" s="85"/>
      <c r="L107" s="122" t="b">
        <v>0</v>
      </c>
      <c r="M107" s="24"/>
      <c r="R107" s="56"/>
      <c r="S107" s="361" t="str">
        <f>IF(L107=TRUE,"a","r")</f>
        <v>r</v>
      </c>
    </row>
    <row r="108" spans="2:19">
      <c r="B108" s="38"/>
      <c r="C108" s="368"/>
      <c r="D108" s="368"/>
      <c r="E108" s="368"/>
      <c r="F108" s="368"/>
      <c r="G108" s="368"/>
      <c r="H108" s="368"/>
      <c r="I108" s="368"/>
      <c r="J108" s="368"/>
      <c r="K108" s="85"/>
      <c r="L108" s="122"/>
      <c r="M108" s="24"/>
      <c r="R108" s="56"/>
      <c r="S108" s="362"/>
    </row>
    <row r="109" spans="2:19" ht="6" customHeight="1">
      <c r="B109" s="38"/>
      <c r="C109" s="17"/>
      <c r="D109" s="17"/>
      <c r="E109" s="17"/>
      <c r="F109" s="17"/>
      <c r="G109" s="17"/>
      <c r="H109" s="17"/>
      <c r="I109" s="17"/>
      <c r="J109" s="17"/>
      <c r="K109" s="85"/>
      <c r="L109" s="122"/>
      <c r="M109" s="24"/>
      <c r="R109" s="56"/>
      <c r="S109" s="363"/>
    </row>
    <row r="110" spans="2:19">
      <c r="B110" s="38"/>
      <c r="C110" s="17" t="s">
        <v>337</v>
      </c>
      <c r="D110" s="17"/>
      <c r="E110" s="17"/>
      <c r="F110" s="17"/>
      <c r="G110" s="17"/>
      <c r="H110" s="17"/>
      <c r="I110" s="17"/>
      <c r="J110" s="17"/>
      <c r="K110" s="85"/>
      <c r="L110" s="122" t="b">
        <v>0</v>
      </c>
      <c r="M110" s="24"/>
      <c r="R110" s="56"/>
      <c r="S110" s="361" t="str">
        <f>IF(L110=TRUE,"a","r")</f>
        <v>r</v>
      </c>
    </row>
    <row r="111" spans="2:19">
      <c r="B111" s="38"/>
      <c r="C111" s="17"/>
      <c r="D111" s="67" t="s">
        <v>339</v>
      </c>
      <c r="E111" s="106"/>
      <c r="F111" s="17" t="s">
        <v>346</v>
      </c>
      <c r="G111" s="67" t="s">
        <v>338</v>
      </c>
      <c r="H111" s="106"/>
      <c r="I111" s="17"/>
      <c r="J111" s="17"/>
      <c r="K111" s="85"/>
      <c r="L111" s="122"/>
      <c r="M111" s="24"/>
      <c r="R111" s="56"/>
      <c r="S111" s="362"/>
    </row>
    <row r="112" spans="2:19" ht="6" customHeight="1">
      <c r="B112" s="38"/>
      <c r="C112" s="17"/>
      <c r="D112" s="17"/>
      <c r="E112" s="17"/>
      <c r="F112" s="17"/>
      <c r="G112" s="17"/>
      <c r="H112" s="17"/>
      <c r="I112" s="17"/>
      <c r="J112" s="17"/>
      <c r="K112" s="85"/>
      <c r="L112" s="122"/>
      <c r="M112" s="24"/>
      <c r="R112" s="56"/>
      <c r="S112" s="362"/>
    </row>
    <row r="113" spans="2:19">
      <c r="B113" s="38"/>
      <c r="C113" s="17"/>
      <c r="D113" s="67" t="s">
        <v>339</v>
      </c>
      <c r="E113" s="106"/>
      <c r="F113" s="17" t="s">
        <v>346</v>
      </c>
      <c r="G113" s="67" t="s">
        <v>338</v>
      </c>
      <c r="H113" s="106"/>
      <c r="I113" s="17"/>
      <c r="J113" s="17"/>
      <c r="K113" s="85"/>
      <c r="L113" s="122"/>
      <c r="M113" s="24"/>
      <c r="R113" s="56"/>
      <c r="S113" s="362"/>
    </row>
    <row r="114" spans="2:19" ht="6" customHeight="1">
      <c r="B114" s="38"/>
      <c r="C114" s="17"/>
      <c r="D114" s="17"/>
      <c r="E114" s="17"/>
      <c r="F114" s="17"/>
      <c r="G114" s="17"/>
      <c r="H114" s="17"/>
      <c r="I114" s="17"/>
      <c r="J114" s="17"/>
      <c r="K114" s="85"/>
      <c r="L114" s="122"/>
      <c r="M114" s="24"/>
      <c r="R114" s="56"/>
      <c r="S114" s="362"/>
    </row>
    <row r="115" spans="2:19">
      <c r="B115" s="38"/>
      <c r="C115" s="17"/>
      <c r="D115" s="67" t="s">
        <v>339</v>
      </c>
      <c r="E115" s="106"/>
      <c r="F115" s="17" t="s">
        <v>346</v>
      </c>
      <c r="G115" s="67" t="s">
        <v>338</v>
      </c>
      <c r="H115" s="106"/>
      <c r="I115" s="17"/>
      <c r="J115" s="17"/>
      <c r="K115" s="85"/>
      <c r="L115" s="122"/>
      <c r="M115" s="24"/>
      <c r="R115" s="56"/>
      <c r="S115" s="362"/>
    </row>
    <row r="116" spans="2:19" ht="6" customHeight="1">
      <c r="B116" s="38"/>
      <c r="C116" s="17"/>
      <c r="D116" s="17"/>
      <c r="E116" s="17"/>
      <c r="F116" s="17"/>
      <c r="G116" s="17"/>
      <c r="H116" s="17"/>
      <c r="I116" s="17"/>
      <c r="J116" s="17"/>
      <c r="K116" s="85"/>
      <c r="L116" s="122"/>
      <c r="M116" s="24"/>
      <c r="R116" s="56"/>
      <c r="S116" s="363"/>
    </row>
    <row r="117" spans="2:19" hidden="1">
      <c r="B117" s="38"/>
      <c r="C117" s="376"/>
      <c r="D117" s="376"/>
      <c r="E117" s="376"/>
      <c r="F117" s="376"/>
      <c r="G117" s="376"/>
      <c r="H117" s="376"/>
      <c r="I117" s="376"/>
      <c r="J117" s="376"/>
      <c r="K117" s="85"/>
      <c r="L117" s="122"/>
      <c r="M117" s="24"/>
      <c r="R117" s="56"/>
      <c r="S117" s="361"/>
    </row>
    <row r="118" spans="2:19" ht="12.75" hidden="1" customHeight="1">
      <c r="B118" s="38"/>
      <c r="C118" s="376"/>
      <c r="D118" s="376"/>
      <c r="E118" s="376"/>
      <c r="F118" s="376"/>
      <c r="G118" s="376"/>
      <c r="H118" s="376"/>
      <c r="I118" s="376"/>
      <c r="J118" s="376"/>
      <c r="K118" s="85"/>
      <c r="L118" s="122"/>
      <c r="M118" s="24"/>
      <c r="R118" s="56"/>
      <c r="S118" s="362"/>
    </row>
    <row r="119" spans="2:19" hidden="1">
      <c r="B119" s="38"/>
      <c r="C119" s="376"/>
      <c r="D119" s="376"/>
      <c r="E119" s="376"/>
      <c r="F119" s="376"/>
      <c r="G119" s="376"/>
      <c r="H119" s="376"/>
      <c r="I119" s="376"/>
      <c r="J119" s="376"/>
      <c r="K119" s="85"/>
      <c r="L119" s="122"/>
      <c r="M119" s="24"/>
      <c r="R119" s="56"/>
      <c r="S119" s="362"/>
    </row>
    <row r="120" spans="2:19" ht="6" hidden="1" customHeight="1">
      <c r="B120" s="40"/>
      <c r="C120" s="41"/>
      <c r="D120" s="41"/>
      <c r="E120" s="41"/>
      <c r="F120" s="41"/>
      <c r="G120" s="41"/>
      <c r="H120" s="41"/>
      <c r="I120" s="41"/>
      <c r="J120" s="41"/>
      <c r="K120" s="87"/>
      <c r="L120" s="122"/>
      <c r="M120" s="24"/>
      <c r="R120" s="56"/>
      <c r="S120" s="363"/>
    </row>
    <row r="121" spans="2:19" ht="15">
      <c r="B121" s="75" t="s">
        <v>341</v>
      </c>
      <c r="C121" s="76" t="s">
        <v>342</v>
      </c>
      <c r="D121" s="77"/>
      <c r="E121" s="77"/>
      <c r="F121" s="77"/>
      <c r="G121" s="77"/>
      <c r="H121" s="77"/>
      <c r="I121" s="77"/>
      <c r="J121" s="78"/>
      <c r="K121" s="79"/>
      <c r="L121" s="122"/>
      <c r="M121" s="24"/>
      <c r="R121" s="56"/>
      <c r="S121" s="63" t="str">
        <f>IF(S122="Does not apply","Does not apply",IF(AND(S124="a",S127="a"),"Compliant",IF(AND(S124="a",S127="a"),"Compliant","Not Compliant")))</f>
        <v>Not Compliant</v>
      </c>
    </row>
    <row r="122" spans="2:19">
      <c r="B122" s="36"/>
      <c r="C122" s="37" t="s">
        <v>343</v>
      </c>
      <c r="D122" s="37"/>
      <c r="E122" s="37"/>
      <c r="F122" s="37"/>
      <c r="G122" s="37"/>
      <c r="H122" s="37"/>
      <c r="I122" s="37"/>
      <c r="J122" s="37"/>
      <c r="K122" s="84"/>
      <c r="L122" s="122" t="b">
        <v>0</v>
      </c>
      <c r="M122" s="24"/>
      <c r="R122" s="56"/>
      <c r="S122" s="365" t="str">
        <f>IF(L122=TRUE,"Does not apply","-")</f>
        <v>-</v>
      </c>
    </row>
    <row r="123" spans="2:19" ht="6" customHeight="1">
      <c r="B123" s="38"/>
      <c r="C123" s="17"/>
      <c r="D123" s="17"/>
      <c r="E123" s="17"/>
      <c r="F123" s="17"/>
      <c r="G123" s="17"/>
      <c r="H123" s="17"/>
      <c r="I123" s="17"/>
      <c r="J123" s="17"/>
      <c r="K123" s="85"/>
      <c r="L123" s="122"/>
      <c r="M123" s="24"/>
      <c r="R123" s="56"/>
      <c r="S123" s="366"/>
    </row>
    <row r="124" spans="2:19">
      <c r="B124" s="38"/>
      <c r="C124" s="368" t="s">
        <v>344</v>
      </c>
      <c r="D124" s="368"/>
      <c r="E124" s="368"/>
      <c r="F124" s="368"/>
      <c r="G124" s="368"/>
      <c r="H124" s="368"/>
      <c r="I124" s="368"/>
      <c r="J124" s="368"/>
      <c r="K124" s="85"/>
      <c r="L124" s="122" t="b">
        <v>0</v>
      </c>
      <c r="M124" s="24"/>
      <c r="R124" s="56"/>
      <c r="S124" s="361" t="str">
        <f>IF(L124=TRUE,"a","r")</f>
        <v>r</v>
      </c>
    </row>
    <row r="125" spans="2:19">
      <c r="B125" s="38"/>
      <c r="C125" s="368"/>
      <c r="D125" s="368"/>
      <c r="E125" s="368"/>
      <c r="F125" s="368"/>
      <c r="G125" s="368"/>
      <c r="H125" s="368"/>
      <c r="I125" s="368"/>
      <c r="J125" s="368"/>
      <c r="K125" s="85"/>
      <c r="L125" s="122"/>
      <c r="M125" s="24"/>
      <c r="R125" s="56"/>
      <c r="S125" s="362"/>
    </row>
    <row r="126" spans="2:19" ht="6" customHeight="1">
      <c r="B126" s="38"/>
      <c r="C126" s="17"/>
      <c r="D126" s="17"/>
      <c r="E126" s="17"/>
      <c r="F126" s="17"/>
      <c r="G126" s="17"/>
      <c r="H126" s="17"/>
      <c r="I126" s="17"/>
      <c r="J126" s="17"/>
      <c r="K126" s="85"/>
      <c r="L126" s="122"/>
      <c r="M126" s="24"/>
      <c r="R126" s="56"/>
      <c r="S126" s="363"/>
    </row>
    <row r="127" spans="2:19">
      <c r="B127" s="38"/>
      <c r="C127" s="17" t="s">
        <v>345</v>
      </c>
      <c r="D127" s="17"/>
      <c r="E127" s="17"/>
      <c r="F127" s="17"/>
      <c r="G127" s="17"/>
      <c r="H127" s="17"/>
      <c r="I127" s="17"/>
      <c r="J127" s="17"/>
      <c r="K127" s="85"/>
      <c r="L127" s="122" t="b">
        <v>0</v>
      </c>
      <c r="M127" s="24"/>
      <c r="R127" s="56"/>
      <c r="S127" s="361" t="str">
        <f>IF(OR(L127=TRUE,L132=TRUE),"a","r")</f>
        <v>r</v>
      </c>
    </row>
    <row r="128" spans="2:19">
      <c r="B128" s="38"/>
      <c r="C128" s="17"/>
      <c r="D128" s="67" t="s">
        <v>339</v>
      </c>
      <c r="E128" s="106"/>
      <c r="F128" s="17" t="s">
        <v>346</v>
      </c>
      <c r="G128" s="67" t="s">
        <v>338</v>
      </c>
      <c r="H128" s="106"/>
      <c r="I128" s="17"/>
      <c r="J128" s="17"/>
      <c r="K128" s="85"/>
      <c r="L128" s="122"/>
      <c r="M128" s="24"/>
      <c r="R128" s="56"/>
      <c r="S128" s="362"/>
    </row>
    <row r="129" spans="2:19" ht="6" customHeight="1">
      <c r="B129" s="38"/>
      <c r="C129" s="17"/>
      <c r="D129" s="17"/>
      <c r="E129" s="17"/>
      <c r="F129" s="17"/>
      <c r="G129" s="17"/>
      <c r="H129" s="17"/>
      <c r="I129" s="17"/>
      <c r="J129" s="17"/>
      <c r="K129" s="85"/>
      <c r="L129" s="122"/>
      <c r="M129" s="24"/>
      <c r="R129" s="56"/>
      <c r="S129" s="362"/>
    </row>
    <row r="130" spans="2:19">
      <c r="B130" s="38"/>
      <c r="C130" s="17"/>
      <c r="D130" s="67" t="s">
        <v>339</v>
      </c>
      <c r="E130" s="106"/>
      <c r="F130" s="17" t="s">
        <v>346</v>
      </c>
      <c r="G130" s="67" t="s">
        <v>338</v>
      </c>
      <c r="H130" s="106"/>
      <c r="I130" s="17"/>
      <c r="J130" s="17"/>
      <c r="K130" s="85"/>
      <c r="L130" s="122"/>
      <c r="M130" s="24"/>
      <c r="R130" s="56"/>
      <c r="S130" s="362"/>
    </row>
    <row r="131" spans="2:19" ht="6" customHeight="1">
      <c r="B131" s="38"/>
      <c r="C131" s="17"/>
      <c r="D131" s="17"/>
      <c r="E131" s="17"/>
      <c r="F131" s="17"/>
      <c r="G131" s="17"/>
      <c r="H131" s="17"/>
      <c r="I131" s="17"/>
      <c r="J131" s="17"/>
      <c r="K131" s="85"/>
      <c r="L131" s="122"/>
      <c r="M131" s="24"/>
      <c r="R131" s="56"/>
      <c r="S131" s="362"/>
    </row>
    <row r="132" spans="2:19">
      <c r="B132" s="38"/>
      <c r="C132" s="17"/>
      <c r="D132" s="17"/>
      <c r="E132" s="17"/>
      <c r="F132" s="17"/>
      <c r="G132" s="17"/>
      <c r="H132" s="17"/>
      <c r="I132" s="17"/>
      <c r="J132" s="17"/>
      <c r="K132" s="85"/>
      <c r="L132" s="122" t="b">
        <v>0</v>
      </c>
      <c r="M132" s="24"/>
      <c r="R132" s="56"/>
      <c r="S132" s="362"/>
    </row>
    <row r="133" spans="2:19" ht="6" customHeight="1">
      <c r="B133" s="38"/>
      <c r="C133" s="17"/>
      <c r="D133" s="17"/>
      <c r="E133" s="17"/>
      <c r="F133" s="17"/>
      <c r="G133" s="17"/>
      <c r="H133" s="17"/>
      <c r="I133" s="17"/>
      <c r="J133" s="17"/>
      <c r="K133" s="85"/>
      <c r="L133" s="122"/>
      <c r="M133" s="24"/>
      <c r="R133" s="56"/>
      <c r="S133" s="363"/>
    </row>
    <row r="134" spans="2:19" hidden="1">
      <c r="B134" s="38"/>
      <c r="C134" s="376"/>
      <c r="D134" s="376"/>
      <c r="E134" s="376"/>
      <c r="F134" s="376"/>
      <c r="G134" s="376"/>
      <c r="H134" s="376"/>
      <c r="I134" s="376"/>
      <c r="J134" s="376"/>
      <c r="K134" s="85"/>
      <c r="L134" s="122"/>
      <c r="M134" s="24"/>
      <c r="R134" s="56"/>
      <c r="S134" s="361"/>
    </row>
    <row r="135" spans="2:19" hidden="1">
      <c r="B135" s="38"/>
      <c r="C135" s="376"/>
      <c r="D135" s="376"/>
      <c r="E135" s="376"/>
      <c r="F135" s="376"/>
      <c r="G135" s="376"/>
      <c r="H135" s="376"/>
      <c r="I135" s="376"/>
      <c r="J135" s="376"/>
      <c r="K135" s="85"/>
      <c r="L135" s="122"/>
      <c r="M135" s="24"/>
      <c r="R135" s="56"/>
      <c r="S135" s="362"/>
    </row>
    <row r="136" spans="2:19" hidden="1">
      <c r="B136" s="38"/>
      <c r="C136" s="376"/>
      <c r="D136" s="376"/>
      <c r="E136" s="376"/>
      <c r="F136" s="376"/>
      <c r="G136" s="376"/>
      <c r="H136" s="376"/>
      <c r="I136" s="376"/>
      <c r="J136" s="376"/>
      <c r="K136" s="85"/>
      <c r="L136" s="122"/>
      <c r="M136" s="24"/>
      <c r="R136" s="56"/>
      <c r="S136" s="362"/>
    </row>
    <row r="137" spans="2:19" ht="6" hidden="1" customHeight="1">
      <c r="B137" s="38"/>
      <c r="C137" s="17"/>
      <c r="D137" s="17"/>
      <c r="E137" s="17"/>
      <c r="F137" s="17"/>
      <c r="G137" s="17"/>
      <c r="H137" s="17"/>
      <c r="I137" s="17"/>
      <c r="J137" s="17"/>
      <c r="K137" s="85"/>
      <c r="L137" s="122"/>
      <c r="M137" s="24"/>
      <c r="R137" s="56"/>
      <c r="S137" s="363"/>
    </row>
    <row r="138" spans="2:19" hidden="1">
      <c r="B138" s="38"/>
      <c r="C138" s="377"/>
      <c r="D138" s="377"/>
      <c r="E138" s="377"/>
      <c r="F138" s="377"/>
      <c r="G138" s="377"/>
      <c r="H138" s="377"/>
      <c r="I138" s="377"/>
      <c r="J138" s="377"/>
      <c r="K138" s="85"/>
      <c r="L138" s="122"/>
      <c r="M138" s="24"/>
      <c r="R138" s="56"/>
      <c r="S138" s="361"/>
    </row>
    <row r="139" spans="2:19" ht="12.75" hidden="1" customHeight="1">
      <c r="B139" s="38"/>
      <c r="C139" s="377"/>
      <c r="D139" s="377"/>
      <c r="E139" s="377"/>
      <c r="F139" s="377"/>
      <c r="G139" s="377"/>
      <c r="H139" s="377"/>
      <c r="I139" s="377"/>
      <c r="J139" s="377"/>
      <c r="K139" s="85"/>
      <c r="L139" s="122"/>
      <c r="M139" s="24"/>
      <c r="R139" s="56"/>
      <c r="S139" s="362"/>
    </row>
    <row r="140" spans="2:19" hidden="1">
      <c r="B140" s="38"/>
      <c r="C140" s="377"/>
      <c r="D140" s="377"/>
      <c r="E140" s="377"/>
      <c r="F140" s="377"/>
      <c r="G140" s="377"/>
      <c r="H140" s="377"/>
      <c r="I140" s="377"/>
      <c r="J140" s="377"/>
      <c r="K140" s="85"/>
      <c r="L140" s="122"/>
      <c r="M140" s="24"/>
      <c r="R140" s="56"/>
      <c r="S140" s="362"/>
    </row>
    <row r="141" spans="2:19" hidden="1">
      <c r="B141" s="40"/>
      <c r="C141" s="377"/>
      <c r="D141" s="377"/>
      <c r="E141" s="377"/>
      <c r="F141" s="377"/>
      <c r="G141" s="377"/>
      <c r="H141" s="377"/>
      <c r="I141" s="377"/>
      <c r="J141" s="377"/>
      <c r="K141" s="85"/>
      <c r="L141" s="122"/>
      <c r="M141" s="24"/>
      <c r="R141" s="56"/>
      <c r="S141" s="362"/>
    </row>
    <row r="142" spans="2:19" ht="1.5" customHeight="1">
      <c r="B142" s="38"/>
      <c r="C142" s="41"/>
      <c r="D142" s="86"/>
      <c r="E142" s="86"/>
      <c r="F142" s="86"/>
      <c r="G142" s="86"/>
      <c r="H142" s="86"/>
      <c r="I142" s="86"/>
      <c r="J142" s="86"/>
      <c r="K142" s="87"/>
      <c r="L142" s="151"/>
      <c r="M142" s="33"/>
      <c r="N142" s="48"/>
      <c r="O142" s="48"/>
      <c r="P142" s="48"/>
      <c r="Q142" s="48"/>
      <c r="R142" s="57"/>
      <c r="S142" s="363"/>
    </row>
    <row r="143" spans="2:19" ht="1.5" customHeight="1">
      <c r="B143" s="185"/>
      <c r="C143" s="186"/>
      <c r="D143" s="61"/>
      <c r="E143" s="61"/>
      <c r="F143" s="61"/>
      <c r="G143" s="61"/>
      <c r="H143" s="61"/>
      <c r="I143" s="61"/>
      <c r="J143" s="17"/>
      <c r="K143" s="17"/>
      <c r="L143" s="122"/>
      <c r="R143" s="56"/>
      <c r="S143" s="184"/>
    </row>
    <row r="144" spans="2:19" ht="0.75" customHeight="1">
      <c r="B144" s="17"/>
      <c r="C144" s="17"/>
      <c r="D144" s="90"/>
      <c r="E144" s="90"/>
      <c r="F144" s="90"/>
      <c r="G144" s="90"/>
      <c r="H144" s="90"/>
      <c r="I144" s="90"/>
      <c r="J144" s="90"/>
      <c r="K144" s="17"/>
      <c r="L144" s="122"/>
      <c r="R144" s="56"/>
      <c r="S144" s="367"/>
    </row>
    <row r="145" spans="2:19" ht="0.75" hidden="1" customHeight="1">
      <c r="B145" s="17"/>
      <c r="C145" s="17"/>
      <c r="D145" s="90"/>
      <c r="E145" s="90"/>
      <c r="F145" s="90"/>
      <c r="G145" s="90"/>
      <c r="H145" s="90"/>
      <c r="I145" s="90"/>
      <c r="J145" s="90"/>
      <c r="K145" s="17"/>
      <c r="L145" s="122"/>
      <c r="R145" s="56"/>
      <c r="S145" s="367"/>
    </row>
    <row r="146" spans="2:19" hidden="1">
      <c r="B146" s="17"/>
      <c r="C146" s="368"/>
      <c r="D146" s="368"/>
      <c r="E146" s="368"/>
      <c r="F146" s="368"/>
      <c r="G146" s="368"/>
      <c r="H146" s="368"/>
      <c r="I146" s="368"/>
      <c r="J146" s="368"/>
      <c r="K146" s="17"/>
      <c r="L146" s="122"/>
      <c r="R146" s="56"/>
      <c r="S146" s="364"/>
    </row>
    <row r="147" spans="2:19" hidden="1">
      <c r="B147" s="17"/>
      <c r="C147" s="368"/>
      <c r="D147" s="368"/>
      <c r="E147" s="368"/>
      <c r="F147" s="368"/>
      <c r="G147" s="368"/>
      <c r="H147" s="368"/>
      <c r="I147" s="368"/>
      <c r="J147" s="368"/>
      <c r="K147" s="17"/>
      <c r="L147" s="122"/>
      <c r="R147" s="56"/>
      <c r="S147" s="364"/>
    </row>
    <row r="148" spans="2:19" ht="6" hidden="1" customHeight="1">
      <c r="B148" s="17"/>
      <c r="C148" s="17"/>
      <c r="D148" s="90"/>
      <c r="E148" s="90"/>
      <c r="F148" s="90"/>
      <c r="G148" s="90"/>
      <c r="H148" s="90"/>
      <c r="I148" s="90"/>
      <c r="J148" s="90"/>
      <c r="K148" s="17"/>
      <c r="L148" s="122"/>
      <c r="R148" s="56"/>
      <c r="S148" s="364"/>
    </row>
    <row r="149" spans="2:19" ht="0.75" hidden="1" customHeight="1">
      <c r="B149" s="17"/>
      <c r="C149" s="17"/>
      <c r="D149" s="90"/>
      <c r="E149" s="90"/>
      <c r="F149" s="90"/>
      <c r="G149" s="90"/>
      <c r="H149" s="90"/>
      <c r="I149" s="90"/>
      <c r="J149" s="90"/>
      <c r="K149" s="17"/>
      <c r="L149" s="122"/>
      <c r="R149" s="56"/>
      <c r="S149" s="364"/>
    </row>
    <row r="150" spans="2:19" ht="0.75" hidden="1" customHeight="1">
      <c r="B150" s="17"/>
      <c r="C150" s="17"/>
      <c r="D150" s="187"/>
      <c r="E150" s="122"/>
      <c r="F150" s="17"/>
      <c r="G150" s="187"/>
      <c r="H150" s="122"/>
      <c r="I150" s="17"/>
      <c r="J150" s="17"/>
      <c r="K150" s="17"/>
      <c r="L150" s="122"/>
      <c r="R150" s="56"/>
      <c r="S150" s="364"/>
    </row>
    <row r="151" spans="2:19" ht="6" hidden="1" customHeight="1">
      <c r="B151" s="17"/>
      <c r="C151" s="17"/>
      <c r="D151" s="17"/>
      <c r="E151" s="17"/>
      <c r="F151" s="17"/>
      <c r="G151" s="17"/>
      <c r="H151" s="17"/>
      <c r="I151" s="17"/>
      <c r="J151" s="17"/>
      <c r="K151" s="17"/>
      <c r="L151" s="122"/>
      <c r="R151" s="56"/>
      <c r="S151" s="364"/>
    </row>
    <row r="152" spans="2:19" hidden="1">
      <c r="B152" s="17"/>
      <c r="C152" s="17"/>
      <c r="D152" s="187"/>
      <c r="E152" s="122"/>
      <c r="F152" s="17"/>
      <c r="G152" s="187"/>
      <c r="H152" s="122"/>
      <c r="I152" s="17"/>
      <c r="J152" s="17"/>
      <c r="K152" s="17"/>
      <c r="L152" s="122"/>
      <c r="R152" s="56"/>
      <c r="S152" s="364"/>
    </row>
    <row r="153" spans="2:19" ht="0.75" hidden="1" customHeight="1">
      <c r="B153" s="17"/>
      <c r="C153" s="17"/>
      <c r="D153" s="187"/>
      <c r="E153" s="122"/>
      <c r="F153" s="90"/>
      <c r="G153" s="187"/>
      <c r="H153" s="122"/>
      <c r="I153" s="90"/>
      <c r="J153" s="90"/>
      <c r="K153" s="17"/>
      <c r="L153" s="122"/>
      <c r="R153" s="56"/>
      <c r="S153" s="364"/>
    </row>
    <row r="154" spans="2:19" ht="6" hidden="1" customHeight="1">
      <c r="B154" s="17"/>
      <c r="C154" s="17"/>
      <c r="D154" s="17"/>
      <c r="E154" s="17"/>
      <c r="F154" s="90"/>
      <c r="G154" s="90"/>
      <c r="H154" s="90"/>
      <c r="I154" s="90"/>
      <c r="J154" s="90"/>
      <c r="K154" s="17"/>
      <c r="L154" s="122"/>
      <c r="R154" s="56"/>
      <c r="S154" s="364"/>
    </row>
    <row r="155" spans="2:19" hidden="1">
      <c r="B155" s="17"/>
      <c r="C155" s="17"/>
      <c r="D155" s="17"/>
      <c r="E155" s="17"/>
      <c r="F155" s="90"/>
      <c r="G155" s="90"/>
      <c r="H155" s="90"/>
      <c r="I155" s="90"/>
      <c r="J155" s="90"/>
      <c r="K155" s="17"/>
      <c r="L155" s="122"/>
      <c r="R155" s="56"/>
      <c r="S155" s="364"/>
    </row>
    <row r="156" spans="2:19" hidden="1">
      <c r="B156" s="17"/>
      <c r="C156" s="17"/>
      <c r="D156" s="368"/>
      <c r="E156" s="368"/>
      <c r="F156" s="368"/>
      <c r="G156" s="368"/>
      <c r="H156" s="368"/>
      <c r="I156" s="368"/>
      <c r="J156" s="368"/>
      <c r="K156" s="17"/>
      <c r="L156" s="122"/>
      <c r="R156" s="56"/>
      <c r="S156" s="364"/>
    </row>
    <row r="157" spans="2:19" ht="0.75" hidden="1" customHeight="1">
      <c r="B157" s="17"/>
      <c r="C157" s="17"/>
      <c r="D157" s="368"/>
      <c r="E157" s="368"/>
      <c r="F157" s="368"/>
      <c r="G157" s="368"/>
      <c r="H157" s="368"/>
      <c r="I157" s="368"/>
      <c r="J157" s="368"/>
      <c r="K157" s="17"/>
      <c r="L157" s="122"/>
      <c r="R157" s="56"/>
      <c r="S157" s="364"/>
    </row>
    <row r="158" spans="2:19" ht="6" hidden="1" customHeight="1">
      <c r="B158" s="17"/>
      <c r="C158" s="17"/>
      <c r="D158" s="90"/>
      <c r="E158" s="90"/>
      <c r="F158" s="90"/>
      <c r="G158" s="90"/>
      <c r="H158" s="90"/>
      <c r="I158" s="90"/>
      <c r="J158" s="90"/>
      <c r="K158" s="17"/>
      <c r="R158" s="56"/>
      <c r="S158" s="364"/>
    </row>
    <row r="159" spans="2:19">
      <c r="L159" s="48"/>
      <c r="R159" s="56"/>
    </row>
    <row r="160" spans="2:19" ht="27" customHeight="1">
      <c r="B160" s="411" t="s">
        <v>289</v>
      </c>
      <c r="C160" s="412"/>
      <c r="D160" s="412"/>
      <c r="E160" s="412"/>
      <c r="F160" s="412"/>
      <c r="G160" s="412"/>
      <c r="H160" s="412"/>
      <c r="I160" s="412"/>
      <c r="J160" s="412"/>
      <c r="K160" s="412"/>
      <c r="L160" s="413"/>
      <c r="M160" s="412"/>
      <c r="N160" s="412"/>
      <c r="O160" s="412"/>
      <c r="P160" s="412"/>
      <c r="Q160" s="414"/>
      <c r="R160" s="89"/>
      <c r="S160" s="70" t="str">
        <f>IF(S161="Does not apply","Does not apply",IF(S164="a","Compliant","Not Compliant"))</f>
        <v>Not Compliant</v>
      </c>
    </row>
    <row r="161" spans="2:19">
      <c r="B161" s="24"/>
      <c r="C161" s="390" t="s">
        <v>291</v>
      </c>
      <c r="D161" s="390"/>
      <c r="E161" s="390"/>
      <c r="F161" s="390"/>
      <c r="G161" s="390"/>
      <c r="H161" s="390"/>
      <c r="I161" s="390"/>
      <c r="J161" s="390"/>
      <c r="K161" s="71"/>
      <c r="L161" s="122" t="b">
        <v>0</v>
      </c>
      <c r="M161" s="28"/>
      <c r="N161" s="408" t="str">
        <f>IF(L161=TRUE,"","Third-party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161" s="408"/>
      <c r="P161" s="408"/>
      <c r="Q161" s="409"/>
      <c r="R161" s="126" t="b">
        <v>1</v>
      </c>
      <c r="S161" s="365" t="str">
        <f>IF(L161=TRUE,"Does not apply","Apply")</f>
        <v>Apply</v>
      </c>
    </row>
    <row r="162" spans="2:19">
      <c r="B162" s="24"/>
      <c r="C162" s="390"/>
      <c r="D162" s="390"/>
      <c r="E162" s="390"/>
      <c r="F162" s="390"/>
      <c r="G162" s="390"/>
      <c r="H162" s="390"/>
      <c r="I162" s="390"/>
      <c r="J162" s="390"/>
      <c r="K162" s="71"/>
      <c r="L162" s="122"/>
      <c r="M162" s="24"/>
      <c r="N162" s="392"/>
      <c r="O162" s="392"/>
      <c r="P162" s="392"/>
      <c r="Q162" s="393"/>
      <c r="R162" s="56"/>
      <c r="S162" s="394"/>
    </row>
    <row r="163" spans="2:19" ht="6" customHeight="1">
      <c r="B163" s="24"/>
      <c r="L163" s="122"/>
      <c r="M163" s="24"/>
      <c r="N163" s="392"/>
      <c r="O163" s="392"/>
      <c r="P163" s="392"/>
      <c r="Q163" s="393"/>
      <c r="R163" s="56"/>
      <c r="S163" s="366"/>
    </row>
    <row r="164" spans="2:19">
      <c r="B164" s="24"/>
      <c r="C164" t="s">
        <v>290</v>
      </c>
      <c r="L164" s="122" t="b">
        <v>0</v>
      </c>
      <c r="M164" s="24"/>
      <c r="N164" s="392"/>
      <c r="O164" s="392"/>
      <c r="P164" s="392"/>
      <c r="Q164" s="393"/>
      <c r="R164" s="56"/>
      <c r="S164" s="410" t="str">
        <f>IF(AND(L164=TRUE,R161=TRUE),"a","r")</f>
        <v>r</v>
      </c>
    </row>
    <row r="165" spans="2:19" ht="12.6" customHeight="1">
      <c r="B165" s="24"/>
      <c r="D165" s="399" t="s">
        <v>292</v>
      </c>
      <c r="E165" s="399"/>
      <c r="F165" s="399"/>
      <c r="G165" s="399"/>
      <c r="H165" s="399"/>
      <c r="I165" s="399"/>
      <c r="J165" s="399"/>
      <c r="K165" s="69"/>
      <c r="L165" s="122"/>
      <c r="M165" s="24"/>
      <c r="Q165" s="32"/>
      <c r="R165" s="56"/>
      <c r="S165" s="410"/>
    </row>
    <row r="166" spans="2:19">
      <c r="B166" s="24"/>
      <c r="D166" s="399"/>
      <c r="E166" s="399"/>
      <c r="F166" s="399"/>
      <c r="G166" s="399"/>
      <c r="H166" s="399"/>
      <c r="I166" s="399"/>
      <c r="J166" s="399"/>
      <c r="K166" s="69"/>
      <c r="L166" s="122"/>
      <c r="M166" s="24"/>
      <c r="Q166" s="32"/>
      <c r="R166" s="56"/>
      <c r="S166" s="410"/>
    </row>
    <row r="167" spans="2:19">
      <c r="B167" s="24"/>
      <c r="D167" s="390" t="s">
        <v>293</v>
      </c>
      <c r="E167" s="390"/>
      <c r="F167" s="390"/>
      <c r="G167" s="390"/>
      <c r="H167" s="390"/>
      <c r="I167" s="390"/>
      <c r="J167" s="390"/>
      <c r="K167" s="71"/>
      <c r="L167" s="122"/>
      <c r="M167" s="24"/>
      <c r="Q167" s="32"/>
      <c r="R167" s="56"/>
      <c r="S167" s="410"/>
    </row>
    <row r="168" spans="2:19">
      <c r="B168" s="24"/>
      <c r="D168" s="390"/>
      <c r="E168" s="390"/>
      <c r="F168" s="390"/>
      <c r="G168" s="390"/>
      <c r="H168" s="390"/>
      <c r="I168" s="390"/>
      <c r="J168" s="390"/>
      <c r="K168" s="71"/>
      <c r="M168" s="24"/>
      <c r="Q168" s="32"/>
      <c r="R168" s="56"/>
      <c r="S168" s="410"/>
    </row>
    <row r="169" spans="2:19" ht="6" customHeight="1">
      <c r="B169" s="33"/>
      <c r="C169" s="48"/>
      <c r="D169" s="48"/>
      <c r="E169" s="48"/>
      <c r="F169" s="48"/>
      <c r="G169" s="48"/>
      <c r="H169" s="48"/>
      <c r="I169" s="48"/>
      <c r="J169" s="48"/>
      <c r="K169" s="48"/>
      <c r="L169" s="41"/>
      <c r="M169" s="33"/>
      <c r="N169" s="48"/>
      <c r="O169" s="48"/>
      <c r="P169" s="48"/>
      <c r="Q169" s="62"/>
      <c r="R169" s="23"/>
      <c r="S169" s="82"/>
    </row>
    <row r="171" spans="2:19" ht="27" customHeight="1">
      <c r="B171" s="411" t="s">
        <v>403</v>
      </c>
      <c r="C171" s="412"/>
      <c r="D171" s="412"/>
      <c r="E171" s="412"/>
      <c r="F171" s="412"/>
      <c r="G171" s="412"/>
      <c r="H171" s="412"/>
      <c r="I171" s="412"/>
      <c r="J171" s="412"/>
      <c r="K171" s="412"/>
      <c r="L171" s="412"/>
      <c r="M171" s="412"/>
      <c r="N171" s="412"/>
      <c r="O171" s="412"/>
      <c r="P171" s="412"/>
      <c r="Q171" s="414"/>
      <c r="R171" s="89"/>
      <c r="S171" s="70" t="str">
        <f>IF(AND(S172="a",S175="a",R172=TRUE),"Compliant","Not Compliant")</f>
        <v>Not Compliant</v>
      </c>
    </row>
    <row r="172" spans="2:19" ht="12.75" customHeight="1">
      <c r="B172" s="24"/>
      <c r="C172" s="388" t="s">
        <v>347</v>
      </c>
      <c r="D172" s="388"/>
      <c r="E172" s="388"/>
      <c r="F172" s="388"/>
      <c r="G172" s="388"/>
      <c r="H172" s="388"/>
      <c r="I172" s="388"/>
      <c r="J172" s="388"/>
      <c r="K172" s="71"/>
      <c r="L172" s="122" t="b">
        <v>0</v>
      </c>
      <c r="M172" s="28"/>
      <c r="N172" s="408" t="s">
        <v>474</v>
      </c>
      <c r="O172" s="408"/>
      <c r="P172" s="408"/>
      <c r="Q172" s="409"/>
      <c r="R172" s="126" t="b">
        <v>1</v>
      </c>
      <c r="S172" s="361" t="str">
        <f>IF(L172=TRUE,"a","r")</f>
        <v>r</v>
      </c>
    </row>
    <row r="173" spans="2:19">
      <c r="B173" s="24"/>
      <c r="C173" s="388"/>
      <c r="D173" s="388"/>
      <c r="E173" s="388"/>
      <c r="F173" s="388"/>
      <c r="G173" s="388"/>
      <c r="H173" s="388"/>
      <c r="I173" s="388"/>
      <c r="J173" s="388"/>
      <c r="K173" s="71"/>
      <c r="L173" s="122"/>
      <c r="M173" s="24"/>
      <c r="N173" s="392"/>
      <c r="O173" s="392"/>
      <c r="P173" s="392"/>
      <c r="Q173" s="393"/>
      <c r="R173" s="56"/>
      <c r="S173" s="362"/>
    </row>
    <row r="174" spans="2:19" ht="6" customHeight="1">
      <c r="B174" s="24"/>
      <c r="L174" s="122"/>
      <c r="M174" s="24"/>
      <c r="N174" s="392"/>
      <c r="O174" s="392"/>
      <c r="P174" s="392"/>
      <c r="Q174" s="393"/>
      <c r="R174" s="56"/>
      <c r="S174" s="363"/>
    </row>
    <row r="175" spans="2:19">
      <c r="B175" s="24"/>
      <c r="C175" s="388" t="s">
        <v>475</v>
      </c>
      <c r="D175" s="388"/>
      <c r="E175" s="388"/>
      <c r="F175" s="388"/>
      <c r="G175" s="388"/>
      <c r="H175" s="388"/>
      <c r="I175" s="388"/>
      <c r="J175" s="388"/>
      <c r="L175" s="122" t="b">
        <v>0</v>
      </c>
      <c r="M175" s="24"/>
      <c r="Q175" s="32"/>
      <c r="R175" s="56"/>
      <c r="S175" s="410" t="str">
        <f>IF(L175=TRUE,"a","r")</f>
        <v>r</v>
      </c>
    </row>
    <row r="176" spans="2:19" ht="12" customHeight="1">
      <c r="B176" s="24"/>
      <c r="C176" s="388"/>
      <c r="D176" s="388"/>
      <c r="E176" s="388"/>
      <c r="F176" s="388"/>
      <c r="G176" s="388"/>
      <c r="H176" s="388"/>
      <c r="I176" s="388"/>
      <c r="J176" s="388"/>
      <c r="K176" s="69"/>
      <c r="L176" s="122"/>
      <c r="M176" s="24"/>
      <c r="Q176" s="32"/>
      <c r="R176" s="56"/>
      <c r="S176" s="410"/>
    </row>
    <row r="177" spans="2:19" ht="6" customHeight="1">
      <c r="B177" s="33"/>
      <c r="C177" s="48"/>
      <c r="D177" s="48"/>
      <c r="E177" s="48"/>
      <c r="F177" s="48"/>
      <c r="G177" s="48"/>
      <c r="H177" s="48"/>
      <c r="I177" s="48"/>
      <c r="J177" s="48"/>
      <c r="K177" s="48"/>
      <c r="L177" s="41"/>
      <c r="M177" s="33"/>
      <c r="N177" s="48"/>
      <c r="O177" s="48"/>
      <c r="P177" s="48"/>
      <c r="Q177" s="62"/>
      <c r="R177" s="23"/>
      <c r="S177" s="82"/>
    </row>
    <row r="179" spans="2:19" ht="27" customHeight="1">
      <c r="B179" s="411" t="s">
        <v>402</v>
      </c>
      <c r="C179" s="412"/>
      <c r="D179" s="412"/>
      <c r="E179" s="412"/>
      <c r="F179" s="412"/>
      <c r="G179" s="412"/>
      <c r="H179" s="412"/>
      <c r="I179" s="412"/>
      <c r="J179" s="412"/>
      <c r="K179" s="412"/>
      <c r="L179" s="412"/>
      <c r="M179" s="412"/>
      <c r="N179" s="412"/>
      <c r="O179" s="412"/>
      <c r="P179" s="412"/>
      <c r="Q179" s="414"/>
      <c r="R179" s="89"/>
      <c r="S179" s="70" t="str">
        <f>IF(AND(S180="a",S183="a",R180=TRUE),"Compliant","Not Compliant")</f>
        <v>Not Compliant</v>
      </c>
    </row>
    <row r="180" spans="2:19" ht="12.75" customHeight="1">
      <c r="B180" s="24"/>
      <c r="C180" s="2" t="s">
        <v>348</v>
      </c>
      <c r="D180" s="68"/>
      <c r="E180" s="68"/>
      <c r="F180" s="68"/>
      <c r="G180" s="68"/>
      <c r="H180" s="68"/>
      <c r="I180" s="68"/>
      <c r="J180" s="68"/>
      <c r="K180" s="71"/>
      <c r="L180" s="122" t="b">
        <v>0</v>
      </c>
      <c r="M180" s="28"/>
      <c r="N180" s="408" t="s">
        <v>350</v>
      </c>
      <c r="O180" s="408"/>
      <c r="P180" s="408"/>
      <c r="Q180" s="409"/>
      <c r="R180" s="126" t="b">
        <v>1</v>
      </c>
      <c r="S180" s="361" t="str">
        <f>IF(L180=TRUE,"a","r")</f>
        <v>r</v>
      </c>
    </row>
    <row r="181" spans="2:19">
      <c r="B181" s="24"/>
      <c r="C181" s="68"/>
      <c r="D181" s="68"/>
      <c r="E181" s="68"/>
      <c r="F181" s="68"/>
      <c r="G181" s="68"/>
      <c r="H181" s="68"/>
      <c r="I181" s="68"/>
      <c r="J181" s="68"/>
      <c r="K181" s="71"/>
      <c r="L181" s="122"/>
      <c r="M181" s="24"/>
      <c r="N181" s="392"/>
      <c r="O181" s="392"/>
      <c r="P181" s="392"/>
      <c r="Q181" s="393"/>
      <c r="R181" s="56"/>
      <c r="S181" s="362"/>
    </row>
    <row r="182" spans="2:19" ht="6" customHeight="1">
      <c r="B182" s="24"/>
      <c r="L182" s="122"/>
      <c r="M182" s="24"/>
      <c r="N182" s="392"/>
      <c r="O182" s="392"/>
      <c r="P182" s="392"/>
      <c r="Q182" s="393"/>
      <c r="R182" s="56"/>
      <c r="S182" s="363"/>
    </row>
    <row r="183" spans="2:19">
      <c r="B183" s="24"/>
      <c r="C183" s="388" t="s">
        <v>349</v>
      </c>
      <c r="D183" s="388"/>
      <c r="E183" s="388"/>
      <c r="F183" s="388"/>
      <c r="G183" s="388"/>
      <c r="H183" s="388"/>
      <c r="I183" s="388"/>
      <c r="J183" s="388"/>
      <c r="L183" s="122" t="b">
        <v>0</v>
      </c>
      <c r="M183" s="24"/>
      <c r="Q183" s="32"/>
      <c r="R183" s="56"/>
      <c r="S183" s="410" t="str">
        <f>IF(L183=TRUE,"a","r")</f>
        <v>r</v>
      </c>
    </row>
    <row r="184" spans="2:19" ht="12" customHeight="1">
      <c r="B184" s="24"/>
      <c r="C184" s="388"/>
      <c r="D184" s="388"/>
      <c r="E184" s="388"/>
      <c r="F184" s="388"/>
      <c r="G184" s="388"/>
      <c r="H184" s="388"/>
      <c r="I184" s="388"/>
      <c r="J184" s="388"/>
      <c r="K184" s="69"/>
      <c r="L184" s="122"/>
      <c r="M184" s="24"/>
      <c r="Q184" s="32"/>
      <c r="R184" s="56"/>
      <c r="S184" s="410"/>
    </row>
    <row r="185" spans="2:19" ht="6" customHeight="1">
      <c r="B185" s="33"/>
      <c r="C185" s="48"/>
      <c r="D185" s="48"/>
      <c r="E185" s="48"/>
      <c r="F185" s="48"/>
      <c r="G185" s="48"/>
      <c r="H185" s="48"/>
      <c r="I185" s="48"/>
      <c r="J185" s="48"/>
      <c r="K185" s="48"/>
      <c r="L185" s="41"/>
      <c r="M185" s="33"/>
      <c r="N185" s="48"/>
      <c r="O185" s="48"/>
      <c r="P185" s="48"/>
      <c r="Q185" s="62"/>
      <c r="R185" s="23"/>
      <c r="S185" s="82"/>
    </row>
  </sheetData>
  <sheetProtection algorithmName="SHA-512" hashValue="ZFyvMW/bamn7OOSti0t0N1ozPbYO4lkVsP0K9yClqlPPmVKO597EM/e6lgBAA2H3y4w5T44QjqlSME+ozkGGuQ==" saltValue="YEG4nrAvCV78FieIl+kSLw==" spinCount="100000" sheet="1" selectLockedCells="1"/>
  <mergeCells count="111">
    <mergeCell ref="N180:Q182"/>
    <mergeCell ref="S180:S182"/>
    <mergeCell ref="C183:J184"/>
    <mergeCell ref="S183:S184"/>
    <mergeCell ref="B160:Q160"/>
    <mergeCell ref="S161:S163"/>
    <mergeCell ref="S164:S168"/>
    <mergeCell ref="B171:Q171"/>
    <mergeCell ref="C172:J173"/>
    <mergeCell ref="N172:Q174"/>
    <mergeCell ref="S172:S174"/>
    <mergeCell ref="S175:S176"/>
    <mergeCell ref="N161:Q164"/>
    <mergeCell ref="C175:J176"/>
    <mergeCell ref="B179:Q179"/>
    <mergeCell ref="D167:J168"/>
    <mergeCell ref="M1:Q1"/>
    <mergeCell ref="C161:J162"/>
    <mergeCell ref="D165:J166"/>
    <mergeCell ref="C16:D16"/>
    <mergeCell ref="C17:D17"/>
    <mergeCell ref="C22:J23"/>
    <mergeCell ref="G17:H17"/>
    <mergeCell ref="C26:D26"/>
    <mergeCell ref="G25:H25"/>
    <mergeCell ref="B2:Q2"/>
    <mergeCell ref="B11:S11"/>
    <mergeCell ref="G16:H16"/>
    <mergeCell ref="B33:S33"/>
    <mergeCell ref="C104:J105"/>
    <mergeCell ref="C107:J108"/>
    <mergeCell ref="I50:J50"/>
    <mergeCell ref="C5:D5"/>
    <mergeCell ref="C6:D6"/>
    <mergeCell ref="C13:J14"/>
    <mergeCell ref="G26:H26"/>
    <mergeCell ref="C25:D25"/>
    <mergeCell ref="N3:Q5"/>
    <mergeCell ref="S3:S6"/>
    <mergeCell ref="N8:Q9"/>
    <mergeCell ref="S7:S9"/>
    <mergeCell ref="S13:S17"/>
    <mergeCell ref="N13:Q14"/>
    <mergeCell ref="N16:Q16"/>
    <mergeCell ref="N22:Q24"/>
    <mergeCell ref="S18:S20"/>
    <mergeCell ref="N28:Q29"/>
    <mergeCell ref="C36:J37"/>
    <mergeCell ref="N30:Q31"/>
    <mergeCell ref="S30:S31"/>
    <mergeCell ref="S36:S38"/>
    <mergeCell ref="N25:Q26"/>
    <mergeCell ref="S39:S46"/>
    <mergeCell ref="S47:S51"/>
    <mergeCell ref="S53:S55"/>
    <mergeCell ref="S79:S80"/>
    <mergeCell ref="S81:S83"/>
    <mergeCell ref="S22:S26"/>
    <mergeCell ref="S27:S29"/>
    <mergeCell ref="D49:E49"/>
    <mergeCell ref="F41:H41"/>
    <mergeCell ref="I41:J41"/>
    <mergeCell ref="E42:E44"/>
    <mergeCell ref="D42:D44"/>
    <mergeCell ref="F42:H42"/>
    <mergeCell ref="I42:J42"/>
    <mergeCell ref="I43:J43"/>
    <mergeCell ref="I44:J44"/>
    <mergeCell ref="I49:J49"/>
    <mergeCell ref="S56:S63"/>
    <mergeCell ref="D156:J157"/>
    <mergeCell ref="C146:J147"/>
    <mergeCell ref="F50:H50"/>
    <mergeCell ref="F49:H49"/>
    <mergeCell ref="F43:H43"/>
    <mergeCell ref="F44:H44"/>
    <mergeCell ref="C79:J80"/>
    <mergeCell ref="C85:J86"/>
    <mergeCell ref="C69:J70"/>
    <mergeCell ref="D50:E50"/>
    <mergeCell ref="C65:J66"/>
    <mergeCell ref="C53:J54"/>
    <mergeCell ref="C67:G67"/>
    <mergeCell ref="C124:J125"/>
    <mergeCell ref="C98:J99"/>
    <mergeCell ref="C117:J119"/>
    <mergeCell ref="C134:J136"/>
    <mergeCell ref="C138:J141"/>
    <mergeCell ref="C93:J94"/>
    <mergeCell ref="S87:S89"/>
    <mergeCell ref="S85:S86"/>
    <mergeCell ref="S65:S68"/>
    <mergeCell ref="S146:S148"/>
    <mergeCell ref="S149:S154"/>
    <mergeCell ref="S155:S158"/>
    <mergeCell ref="S138:S142"/>
    <mergeCell ref="S134:S137"/>
    <mergeCell ref="S122:S123"/>
    <mergeCell ref="S144:S145"/>
    <mergeCell ref="S69:S77"/>
    <mergeCell ref="S91:S92"/>
    <mergeCell ref="S98:S100"/>
    <mergeCell ref="S127:S133"/>
    <mergeCell ref="S102:S103"/>
    <mergeCell ref="S104:S106"/>
    <mergeCell ref="S107:S109"/>
    <mergeCell ref="S110:S116"/>
    <mergeCell ref="S117:S120"/>
    <mergeCell ref="S93:S95"/>
    <mergeCell ref="S96:S97"/>
    <mergeCell ref="S124:S126"/>
  </mergeCells>
  <conditionalFormatting sqref="L5:M5">
    <cfRule type="cellIs" dxfId="33" priority="49" operator="equal">
      <formula>"""No ok"""</formula>
    </cfRule>
  </conditionalFormatting>
  <conditionalFormatting sqref="L16:M17">
    <cfRule type="cellIs" dxfId="32" priority="48" operator="equal">
      <formula>"""No ok"""</formula>
    </cfRule>
  </conditionalFormatting>
  <conditionalFormatting sqref="L25:M26">
    <cfRule type="cellIs" dxfId="31" priority="47" operator="equal">
      <formula>"""No ok"""</formula>
    </cfRule>
  </conditionalFormatting>
  <conditionalFormatting sqref="L26:M26">
    <cfRule type="cellIs" dxfId="30" priority="53" operator="equal">
      <formula>"No ok"</formula>
    </cfRule>
  </conditionalFormatting>
  <conditionalFormatting sqref="S2">
    <cfRule type="cellIs" dxfId="29" priority="44" operator="equal">
      <formula>"Compliant"</formula>
    </cfRule>
    <cfRule type="cellIs" dxfId="28" priority="43" operator="equal">
      <formula>"Not Compliant"</formula>
    </cfRule>
  </conditionalFormatting>
  <conditionalFormatting sqref="S12">
    <cfRule type="cellIs" dxfId="27" priority="46" operator="equal">
      <formula>"Not Compliant"</formula>
    </cfRule>
    <cfRule type="cellIs" dxfId="26" priority="45" operator="equal">
      <formula>"Compliant"</formula>
    </cfRule>
  </conditionalFormatting>
  <conditionalFormatting sqref="S21">
    <cfRule type="cellIs" dxfId="25" priority="42" operator="equal">
      <formula>"Compliant"</formula>
    </cfRule>
    <cfRule type="cellIs" dxfId="24" priority="26" operator="equal">
      <formula>"Not Compliant"</formula>
    </cfRule>
  </conditionalFormatting>
  <conditionalFormatting sqref="S34:S35">
    <cfRule type="cellIs" dxfId="23" priority="1" operator="equal">
      <formula>"Not Compliant"</formula>
    </cfRule>
    <cfRule type="cellIs" dxfId="22" priority="2" operator="equal">
      <formula>"Compliant"</formula>
    </cfRule>
  </conditionalFormatting>
  <conditionalFormatting sqref="S52">
    <cfRule type="cellIs" dxfId="21" priority="24" operator="equal">
      <formula>"Compliant"</formula>
    </cfRule>
    <cfRule type="cellIs" dxfId="20" priority="23" operator="equal">
      <formula>"Not Compliant"</formula>
    </cfRule>
  </conditionalFormatting>
  <conditionalFormatting sqref="S64">
    <cfRule type="cellIs" dxfId="19" priority="22" operator="equal">
      <formula>"Compliant"</formula>
    </cfRule>
    <cfRule type="cellIs" dxfId="18" priority="21" operator="equal">
      <formula>"Not Compliant"</formula>
    </cfRule>
  </conditionalFormatting>
  <conditionalFormatting sqref="S78">
    <cfRule type="cellIs" dxfId="17" priority="19" operator="equal">
      <formula>"Compliant"</formula>
    </cfRule>
    <cfRule type="cellIs" dxfId="16" priority="20" operator="equal">
      <formula>"Not Compliant"</formula>
    </cfRule>
  </conditionalFormatting>
  <conditionalFormatting sqref="S84">
    <cfRule type="cellIs" dxfId="15" priority="18" operator="equal">
      <formula>"Not Compliant"</formula>
    </cfRule>
    <cfRule type="cellIs" dxfId="14" priority="17" operator="equal">
      <formula>"Compliant"</formula>
    </cfRule>
  </conditionalFormatting>
  <conditionalFormatting sqref="S90">
    <cfRule type="cellIs" dxfId="13" priority="16" operator="equal">
      <formula>"Not Compliant"</formula>
    </cfRule>
    <cfRule type="cellIs" dxfId="12" priority="15" operator="equal">
      <formula>"Compliant"</formula>
    </cfRule>
  </conditionalFormatting>
  <conditionalFormatting sqref="S101">
    <cfRule type="cellIs" dxfId="11" priority="14" operator="equal">
      <formula>"Compliant"</formula>
    </cfRule>
    <cfRule type="cellIs" dxfId="10" priority="13" operator="equal">
      <formula>"Not Compliant"</formula>
    </cfRule>
  </conditionalFormatting>
  <conditionalFormatting sqref="S121">
    <cfRule type="cellIs" dxfId="9" priority="12" operator="equal">
      <formula>"Compliant"</formula>
    </cfRule>
    <cfRule type="cellIs" dxfId="8" priority="11" operator="equal">
      <formula>"Not Compliant"</formula>
    </cfRule>
  </conditionalFormatting>
  <conditionalFormatting sqref="S143">
    <cfRule type="cellIs" dxfId="7" priority="10" operator="equal">
      <formula>"Not Compliant"</formula>
    </cfRule>
    <cfRule type="cellIs" dxfId="6" priority="9" operator="equal">
      <formula>"Compliant"</formula>
    </cfRule>
  </conditionalFormatting>
  <conditionalFormatting sqref="S160">
    <cfRule type="cellIs" dxfId="5" priority="8" operator="equal">
      <formula>"Not Compliant"</formula>
    </cfRule>
    <cfRule type="cellIs" dxfId="4" priority="7" operator="equal">
      <formula>"Compliant"</formula>
    </cfRule>
  </conditionalFormatting>
  <conditionalFormatting sqref="S171">
    <cfRule type="cellIs" dxfId="3" priority="6" operator="equal">
      <formula>"Not Compliant"</formula>
    </cfRule>
    <cfRule type="cellIs" dxfId="2" priority="5" operator="equal">
      <formula>"Compliant"</formula>
    </cfRule>
  </conditionalFormatting>
  <conditionalFormatting sqref="S179">
    <cfRule type="cellIs" dxfId="1" priority="3" operator="equal">
      <formula>"Compliant"</formula>
    </cfRule>
    <cfRule type="cellIs" dxfId="0" priority="4" operator="equal">
      <formula>"Not 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28575</xdr:colOff>
                    <xdr:row>1</xdr:row>
                    <xdr:rowOff>342900</xdr:rowOff>
                  </from>
                  <to>
                    <xdr:col>3</xdr:col>
                    <xdr:colOff>104775</xdr:colOff>
                    <xdr:row>3</xdr:row>
                    <xdr:rowOff>19050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9525</xdr:colOff>
                    <xdr:row>11</xdr:row>
                    <xdr:rowOff>171450</xdr:rowOff>
                  </from>
                  <to>
                    <xdr:col>3</xdr:col>
                    <xdr:colOff>85725</xdr:colOff>
                    <xdr:row>13</xdr:row>
                    <xdr:rowOff>28575</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28575</xdr:colOff>
                    <xdr:row>21</xdr:row>
                    <xdr:rowOff>0</xdr:rowOff>
                  </from>
                  <to>
                    <xdr:col>3</xdr:col>
                    <xdr:colOff>171450</xdr:colOff>
                    <xdr:row>22</xdr:row>
                    <xdr:rowOff>38100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1</xdr:col>
                    <xdr:colOff>19050</xdr:colOff>
                    <xdr:row>6</xdr:row>
                    <xdr:rowOff>133350</xdr:rowOff>
                  </from>
                  <to>
                    <xdr:col>3</xdr:col>
                    <xdr:colOff>114300</xdr:colOff>
                    <xdr:row>8</xdr:row>
                    <xdr:rowOff>38100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12</xdr:col>
                    <xdr:colOff>19050</xdr:colOff>
                    <xdr:row>2</xdr:row>
                    <xdr:rowOff>9525</xdr:rowOff>
                  </from>
                  <to>
                    <xdr:col>13</xdr:col>
                    <xdr:colOff>447675</xdr:colOff>
                    <xdr:row>3</xdr:row>
                    <xdr:rowOff>28575</xdr:rowOff>
                  </to>
                </anchor>
              </controlPr>
            </control>
          </mc:Choice>
        </mc:AlternateContent>
        <mc:AlternateContent xmlns:mc="http://schemas.openxmlformats.org/markup-compatibility/2006">
          <mc:Choice Requires="x14">
            <control shapeId="8205" r:id="rId9" name="Check Box 13">
              <controlPr defaultSize="0" autoFill="0" autoLine="0" autoPict="0">
                <anchor moveWithCells="1">
                  <from>
                    <xdr:col>1</xdr:col>
                    <xdr:colOff>19050</xdr:colOff>
                    <xdr:row>26</xdr:row>
                    <xdr:rowOff>133350</xdr:rowOff>
                  </from>
                  <to>
                    <xdr:col>3</xdr:col>
                    <xdr:colOff>114300</xdr:colOff>
                    <xdr:row>28</xdr:row>
                    <xdr:rowOff>28575</xdr:rowOff>
                  </to>
                </anchor>
              </controlPr>
            </control>
          </mc:Choice>
        </mc:AlternateContent>
        <mc:AlternateContent xmlns:mc="http://schemas.openxmlformats.org/markup-compatibility/2006">
          <mc:Choice Requires="x14">
            <control shapeId="8206" r:id="rId10" name="Check Box 14">
              <controlPr defaultSize="0" autoFill="0" autoLine="0" autoPict="0">
                <anchor moveWithCells="1">
                  <from>
                    <xdr:col>12</xdr:col>
                    <xdr:colOff>47625</xdr:colOff>
                    <xdr:row>20</xdr:row>
                    <xdr:rowOff>180975</xdr:rowOff>
                  </from>
                  <to>
                    <xdr:col>13</xdr:col>
                    <xdr:colOff>466725</xdr:colOff>
                    <xdr:row>22</xdr:row>
                    <xdr:rowOff>9525</xdr:rowOff>
                  </to>
                </anchor>
              </controlPr>
            </control>
          </mc:Choice>
        </mc:AlternateContent>
        <mc:AlternateContent xmlns:mc="http://schemas.openxmlformats.org/markup-compatibility/2006">
          <mc:Choice Requires="x14">
            <control shapeId="8207" r:id="rId11" name="Check Box 15">
              <controlPr defaultSize="0" autoFill="0" autoLine="0" autoPict="0">
                <anchor moveWithCells="1">
                  <from>
                    <xdr:col>1</xdr:col>
                    <xdr:colOff>28575</xdr:colOff>
                    <xdr:row>28</xdr:row>
                    <xdr:rowOff>161925</xdr:rowOff>
                  </from>
                  <to>
                    <xdr:col>3</xdr:col>
                    <xdr:colOff>123825</xdr:colOff>
                    <xdr:row>30</xdr:row>
                    <xdr:rowOff>28575</xdr:rowOff>
                  </to>
                </anchor>
              </controlPr>
            </control>
          </mc:Choice>
        </mc:AlternateContent>
        <mc:AlternateContent xmlns:mc="http://schemas.openxmlformats.org/markup-compatibility/2006">
          <mc:Choice Requires="x14">
            <control shapeId="8208" r:id="rId12" name="Check Box 16">
              <controlPr defaultSize="0" autoFill="0" autoLine="0" autoPict="0">
                <anchor moveWithCells="1">
                  <from>
                    <xdr:col>12</xdr:col>
                    <xdr:colOff>47625</xdr:colOff>
                    <xdr:row>23</xdr:row>
                    <xdr:rowOff>57150</xdr:rowOff>
                  </from>
                  <to>
                    <xdr:col>13</xdr:col>
                    <xdr:colOff>466725</xdr:colOff>
                    <xdr:row>24</xdr:row>
                    <xdr:rowOff>180975</xdr:rowOff>
                  </to>
                </anchor>
              </controlPr>
            </control>
          </mc:Choice>
        </mc:AlternateContent>
        <mc:AlternateContent xmlns:mc="http://schemas.openxmlformats.org/markup-compatibility/2006">
          <mc:Choice Requires="x14">
            <control shapeId="8245" r:id="rId13" name="Check Box 53">
              <controlPr defaultSize="0" autoFill="0" autoLine="0" autoPict="0">
                <anchor moveWithCells="1">
                  <from>
                    <xdr:col>1</xdr:col>
                    <xdr:colOff>9525</xdr:colOff>
                    <xdr:row>159</xdr:row>
                    <xdr:rowOff>314325</xdr:rowOff>
                  </from>
                  <to>
                    <xdr:col>3</xdr:col>
                    <xdr:colOff>123825</xdr:colOff>
                    <xdr:row>161</xdr:row>
                    <xdr:rowOff>28575</xdr:rowOff>
                  </to>
                </anchor>
              </controlPr>
            </control>
          </mc:Choice>
        </mc:AlternateContent>
        <mc:AlternateContent xmlns:mc="http://schemas.openxmlformats.org/markup-compatibility/2006">
          <mc:Choice Requires="x14">
            <control shapeId="8246" r:id="rId14" name="Check Box 54">
              <controlPr defaultSize="0" autoFill="0" autoLine="0" autoPict="0">
                <anchor moveWithCells="1">
                  <from>
                    <xdr:col>1</xdr:col>
                    <xdr:colOff>28575</xdr:colOff>
                    <xdr:row>162</xdr:row>
                    <xdr:rowOff>142875</xdr:rowOff>
                  </from>
                  <to>
                    <xdr:col>3</xdr:col>
                    <xdr:colOff>142875</xdr:colOff>
                    <xdr:row>164</xdr:row>
                    <xdr:rowOff>47625</xdr:rowOff>
                  </to>
                </anchor>
              </controlPr>
            </control>
          </mc:Choice>
        </mc:AlternateContent>
        <mc:AlternateContent xmlns:mc="http://schemas.openxmlformats.org/markup-compatibility/2006">
          <mc:Choice Requires="x14">
            <control shapeId="8247" r:id="rId15" name="Check Box 55">
              <controlPr defaultSize="0" autoFill="0" autoLine="0" autoPict="0">
                <anchor moveWithCells="1">
                  <from>
                    <xdr:col>2</xdr:col>
                    <xdr:colOff>28575</xdr:colOff>
                    <xdr:row>163</xdr:row>
                    <xdr:rowOff>142875</xdr:rowOff>
                  </from>
                  <to>
                    <xdr:col>3</xdr:col>
                    <xdr:colOff>400050</xdr:colOff>
                    <xdr:row>165</xdr:row>
                    <xdr:rowOff>38100</xdr:rowOff>
                  </to>
                </anchor>
              </controlPr>
            </control>
          </mc:Choice>
        </mc:AlternateContent>
        <mc:AlternateContent xmlns:mc="http://schemas.openxmlformats.org/markup-compatibility/2006">
          <mc:Choice Requires="x14">
            <control shapeId="8248" r:id="rId16" name="Check Box 56">
              <controlPr defaultSize="0" autoFill="0" autoLine="0" autoPict="0">
                <anchor moveWithCells="1">
                  <from>
                    <xdr:col>2</xdr:col>
                    <xdr:colOff>28575</xdr:colOff>
                    <xdr:row>165</xdr:row>
                    <xdr:rowOff>133350</xdr:rowOff>
                  </from>
                  <to>
                    <xdr:col>3</xdr:col>
                    <xdr:colOff>409575</xdr:colOff>
                    <xdr:row>167</xdr:row>
                    <xdr:rowOff>28575</xdr:rowOff>
                  </to>
                </anchor>
              </controlPr>
            </control>
          </mc:Choice>
        </mc:AlternateContent>
        <mc:AlternateContent xmlns:mc="http://schemas.openxmlformats.org/markup-compatibility/2006">
          <mc:Choice Requires="x14">
            <control shapeId="8250" r:id="rId17" name="Check Box 58">
              <controlPr defaultSize="0" autoFill="0" autoLine="0" autoPict="0">
                <anchor moveWithCells="1">
                  <from>
                    <xdr:col>0</xdr:col>
                    <xdr:colOff>238125</xdr:colOff>
                    <xdr:row>34</xdr:row>
                    <xdr:rowOff>133350</xdr:rowOff>
                  </from>
                  <to>
                    <xdr:col>3</xdr:col>
                    <xdr:colOff>190500</xdr:colOff>
                    <xdr:row>36</xdr:row>
                    <xdr:rowOff>19050</xdr:rowOff>
                  </to>
                </anchor>
              </controlPr>
            </control>
          </mc:Choice>
        </mc:AlternateContent>
        <mc:AlternateContent xmlns:mc="http://schemas.openxmlformats.org/markup-compatibility/2006">
          <mc:Choice Requires="x14">
            <control shapeId="8251" r:id="rId18" name="Check Box 59">
              <controlPr defaultSize="0" autoFill="0" autoLine="0" autoPict="0">
                <anchor moveWithCells="1">
                  <from>
                    <xdr:col>1</xdr:col>
                    <xdr:colOff>0</xdr:colOff>
                    <xdr:row>37</xdr:row>
                    <xdr:rowOff>47625</xdr:rowOff>
                  </from>
                  <to>
                    <xdr:col>3</xdr:col>
                    <xdr:colOff>200025</xdr:colOff>
                    <xdr:row>39</xdr:row>
                    <xdr:rowOff>19050</xdr:rowOff>
                  </to>
                </anchor>
              </controlPr>
            </control>
          </mc:Choice>
        </mc:AlternateContent>
        <mc:AlternateContent xmlns:mc="http://schemas.openxmlformats.org/markup-compatibility/2006">
          <mc:Choice Requires="x14">
            <control shapeId="8252" r:id="rId19" name="Check Box 60">
              <controlPr defaultSize="0" autoFill="0" autoLine="0" autoPict="0">
                <anchor moveWithCells="1">
                  <from>
                    <xdr:col>1</xdr:col>
                    <xdr:colOff>9525</xdr:colOff>
                    <xdr:row>45</xdr:row>
                    <xdr:rowOff>57150</xdr:rowOff>
                  </from>
                  <to>
                    <xdr:col>3</xdr:col>
                    <xdr:colOff>209550</xdr:colOff>
                    <xdr:row>47</xdr:row>
                    <xdr:rowOff>28575</xdr:rowOff>
                  </to>
                </anchor>
              </controlPr>
            </control>
          </mc:Choice>
        </mc:AlternateContent>
        <mc:AlternateContent xmlns:mc="http://schemas.openxmlformats.org/markup-compatibility/2006">
          <mc:Choice Requires="x14">
            <control shapeId="8253" r:id="rId20" name="Check Box 61">
              <controlPr defaultSize="0" autoFill="0" autoLine="0" autoPict="0">
                <anchor moveWithCells="1">
                  <from>
                    <xdr:col>1</xdr:col>
                    <xdr:colOff>0</xdr:colOff>
                    <xdr:row>51</xdr:row>
                    <xdr:rowOff>142875</xdr:rowOff>
                  </from>
                  <to>
                    <xdr:col>3</xdr:col>
                    <xdr:colOff>200025</xdr:colOff>
                    <xdr:row>53</xdr:row>
                    <xdr:rowOff>28575</xdr:rowOff>
                  </to>
                </anchor>
              </controlPr>
            </control>
          </mc:Choice>
        </mc:AlternateContent>
        <mc:AlternateContent xmlns:mc="http://schemas.openxmlformats.org/markup-compatibility/2006">
          <mc:Choice Requires="x14">
            <control shapeId="8257" r:id="rId21" name="Check Box 65">
              <controlPr defaultSize="0" autoFill="0" autoLine="0" autoPict="0">
                <anchor moveWithCells="1">
                  <from>
                    <xdr:col>1</xdr:col>
                    <xdr:colOff>28575</xdr:colOff>
                    <xdr:row>77</xdr:row>
                    <xdr:rowOff>171450</xdr:rowOff>
                  </from>
                  <to>
                    <xdr:col>3</xdr:col>
                    <xdr:colOff>228600</xdr:colOff>
                    <xdr:row>79</xdr:row>
                    <xdr:rowOff>28575</xdr:rowOff>
                  </to>
                </anchor>
              </controlPr>
            </control>
          </mc:Choice>
        </mc:AlternateContent>
        <mc:AlternateContent xmlns:mc="http://schemas.openxmlformats.org/markup-compatibility/2006">
          <mc:Choice Requires="x14">
            <control shapeId="8258" r:id="rId22" name="Check Box 66">
              <controlPr defaultSize="0" autoFill="0" autoLine="0" autoPict="0">
                <anchor moveWithCells="1">
                  <from>
                    <xdr:col>1</xdr:col>
                    <xdr:colOff>47625</xdr:colOff>
                    <xdr:row>80</xdr:row>
                    <xdr:rowOff>66675</xdr:rowOff>
                  </from>
                  <to>
                    <xdr:col>3</xdr:col>
                    <xdr:colOff>247650</xdr:colOff>
                    <xdr:row>82</xdr:row>
                    <xdr:rowOff>38100</xdr:rowOff>
                  </to>
                </anchor>
              </controlPr>
            </control>
          </mc:Choice>
        </mc:AlternateContent>
        <mc:AlternateContent xmlns:mc="http://schemas.openxmlformats.org/markup-compatibility/2006">
          <mc:Choice Requires="x14">
            <control shapeId="8261" r:id="rId23" name="Check Box 69">
              <controlPr defaultSize="0" autoFill="0" autoLine="0" autoPict="0">
                <anchor moveWithCells="1">
                  <from>
                    <xdr:col>12</xdr:col>
                    <xdr:colOff>47625</xdr:colOff>
                    <xdr:row>34</xdr:row>
                    <xdr:rowOff>152400</xdr:rowOff>
                  </from>
                  <to>
                    <xdr:col>13</xdr:col>
                    <xdr:colOff>466725</xdr:colOff>
                    <xdr:row>36</xdr:row>
                    <xdr:rowOff>19050</xdr:rowOff>
                  </to>
                </anchor>
              </controlPr>
            </control>
          </mc:Choice>
        </mc:AlternateContent>
        <mc:AlternateContent xmlns:mc="http://schemas.openxmlformats.org/markup-compatibility/2006">
          <mc:Choice Requires="x14">
            <control shapeId="8263" r:id="rId24" name="Check Box 71">
              <controlPr defaultSize="0" autoFill="0" autoLine="0" autoPict="0">
                <anchor moveWithCells="1">
                  <from>
                    <xdr:col>12</xdr:col>
                    <xdr:colOff>47625</xdr:colOff>
                    <xdr:row>37</xdr:row>
                    <xdr:rowOff>57150</xdr:rowOff>
                  </from>
                  <to>
                    <xdr:col>13</xdr:col>
                    <xdr:colOff>466725</xdr:colOff>
                    <xdr:row>39</xdr:row>
                    <xdr:rowOff>9525</xdr:rowOff>
                  </to>
                </anchor>
              </controlPr>
            </control>
          </mc:Choice>
        </mc:AlternateContent>
        <mc:AlternateContent xmlns:mc="http://schemas.openxmlformats.org/markup-compatibility/2006">
          <mc:Choice Requires="x14">
            <control shapeId="8266" r:id="rId25" name="Check Box 74">
              <controlPr defaultSize="0" autoFill="0" autoLine="0" autoPict="0">
                <anchor moveWithCells="1">
                  <from>
                    <xdr:col>1</xdr:col>
                    <xdr:colOff>38100</xdr:colOff>
                    <xdr:row>83</xdr:row>
                    <xdr:rowOff>161925</xdr:rowOff>
                  </from>
                  <to>
                    <xdr:col>3</xdr:col>
                    <xdr:colOff>238125</xdr:colOff>
                    <xdr:row>85</xdr:row>
                    <xdr:rowOff>19050</xdr:rowOff>
                  </to>
                </anchor>
              </controlPr>
            </control>
          </mc:Choice>
        </mc:AlternateContent>
        <mc:AlternateContent xmlns:mc="http://schemas.openxmlformats.org/markup-compatibility/2006">
          <mc:Choice Requires="x14">
            <control shapeId="8267" r:id="rId26" name="Check Box 75">
              <controlPr defaultSize="0" autoFill="0" autoLine="0" autoPict="0">
                <anchor moveWithCells="1">
                  <from>
                    <xdr:col>1</xdr:col>
                    <xdr:colOff>47625</xdr:colOff>
                    <xdr:row>86</xdr:row>
                    <xdr:rowOff>123825</xdr:rowOff>
                  </from>
                  <to>
                    <xdr:col>3</xdr:col>
                    <xdr:colOff>247650</xdr:colOff>
                    <xdr:row>88</xdr:row>
                    <xdr:rowOff>47625</xdr:rowOff>
                  </to>
                </anchor>
              </controlPr>
            </control>
          </mc:Choice>
        </mc:AlternateContent>
        <mc:AlternateContent xmlns:mc="http://schemas.openxmlformats.org/markup-compatibility/2006">
          <mc:Choice Requires="x14">
            <control shapeId="8268" r:id="rId27" name="Check Box 76">
              <controlPr defaultSize="0" autoFill="0" autoLine="0" autoPict="0">
                <anchor moveWithCells="1">
                  <from>
                    <xdr:col>1</xdr:col>
                    <xdr:colOff>38100</xdr:colOff>
                    <xdr:row>89</xdr:row>
                    <xdr:rowOff>161925</xdr:rowOff>
                  </from>
                  <to>
                    <xdr:col>3</xdr:col>
                    <xdr:colOff>238125</xdr:colOff>
                    <xdr:row>91</xdr:row>
                    <xdr:rowOff>19050</xdr:rowOff>
                  </to>
                </anchor>
              </controlPr>
            </control>
          </mc:Choice>
        </mc:AlternateContent>
        <mc:AlternateContent xmlns:mc="http://schemas.openxmlformats.org/markup-compatibility/2006">
          <mc:Choice Requires="x14">
            <control shapeId="8272" r:id="rId28" name="Check Box 80">
              <controlPr defaultSize="0" autoFill="0" autoLine="0" autoPict="0">
                <anchor moveWithCells="1">
                  <from>
                    <xdr:col>1</xdr:col>
                    <xdr:colOff>28575</xdr:colOff>
                    <xdr:row>96</xdr:row>
                    <xdr:rowOff>152400</xdr:rowOff>
                  </from>
                  <to>
                    <xdr:col>3</xdr:col>
                    <xdr:colOff>228600</xdr:colOff>
                    <xdr:row>98</xdr:row>
                    <xdr:rowOff>47625</xdr:rowOff>
                  </to>
                </anchor>
              </controlPr>
            </control>
          </mc:Choice>
        </mc:AlternateContent>
        <mc:AlternateContent xmlns:mc="http://schemas.openxmlformats.org/markup-compatibility/2006">
          <mc:Choice Requires="x14">
            <control shapeId="8273" r:id="rId29" name="Check Box 81">
              <controlPr defaultSize="0" autoFill="0" autoLine="0" autoPict="0">
                <anchor moveWithCells="1">
                  <from>
                    <xdr:col>1</xdr:col>
                    <xdr:colOff>19050</xdr:colOff>
                    <xdr:row>100</xdr:row>
                    <xdr:rowOff>180975</xdr:rowOff>
                  </from>
                  <to>
                    <xdr:col>3</xdr:col>
                    <xdr:colOff>219075</xdr:colOff>
                    <xdr:row>102</xdr:row>
                    <xdr:rowOff>38100</xdr:rowOff>
                  </to>
                </anchor>
              </controlPr>
            </control>
          </mc:Choice>
        </mc:AlternateContent>
        <mc:AlternateContent xmlns:mc="http://schemas.openxmlformats.org/markup-compatibility/2006">
          <mc:Choice Requires="x14">
            <control shapeId="8274" r:id="rId30" name="Check Box 82">
              <controlPr defaultSize="0" autoFill="0" autoLine="0" autoPict="0">
                <anchor moveWithCells="1">
                  <from>
                    <xdr:col>1</xdr:col>
                    <xdr:colOff>9525</xdr:colOff>
                    <xdr:row>102</xdr:row>
                    <xdr:rowOff>133350</xdr:rowOff>
                  </from>
                  <to>
                    <xdr:col>3</xdr:col>
                    <xdr:colOff>209550</xdr:colOff>
                    <xdr:row>104</xdr:row>
                    <xdr:rowOff>47625</xdr:rowOff>
                  </to>
                </anchor>
              </controlPr>
            </control>
          </mc:Choice>
        </mc:AlternateContent>
        <mc:AlternateContent xmlns:mc="http://schemas.openxmlformats.org/markup-compatibility/2006">
          <mc:Choice Requires="x14">
            <control shapeId="8275" r:id="rId31" name="Check Box 83">
              <controlPr defaultSize="0" autoFill="0" autoLine="0" autoPict="0">
                <anchor moveWithCells="1">
                  <from>
                    <xdr:col>1</xdr:col>
                    <xdr:colOff>19050</xdr:colOff>
                    <xdr:row>105</xdr:row>
                    <xdr:rowOff>133350</xdr:rowOff>
                  </from>
                  <to>
                    <xdr:col>3</xdr:col>
                    <xdr:colOff>219075</xdr:colOff>
                    <xdr:row>107</xdr:row>
                    <xdr:rowOff>47625</xdr:rowOff>
                  </to>
                </anchor>
              </controlPr>
            </control>
          </mc:Choice>
        </mc:AlternateContent>
        <mc:AlternateContent xmlns:mc="http://schemas.openxmlformats.org/markup-compatibility/2006">
          <mc:Choice Requires="x14">
            <control shapeId="8276" r:id="rId32" name="Check Box 84">
              <controlPr defaultSize="0" autoFill="0" autoLine="0" autoPict="0">
                <anchor moveWithCells="1">
                  <from>
                    <xdr:col>1</xdr:col>
                    <xdr:colOff>19050</xdr:colOff>
                    <xdr:row>108</xdr:row>
                    <xdr:rowOff>142875</xdr:rowOff>
                  </from>
                  <to>
                    <xdr:col>3</xdr:col>
                    <xdr:colOff>219075</xdr:colOff>
                    <xdr:row>110</xdr:row>
                    <xdr:rowOff>47625</xdr:rowOff>
                  </to>
                </anchor>
              </controlPr>
            </control>
          </mc:Choice>
        </mc:AlternateContent>
        <mc:AlternateContent xmlns:mc="http://schemas.openxmlformats.org/markup-compatibility/2006">
          <mc:Choice Requires="x14">
            <control shapeId="8279" r:id="rId33" name="Check Box 87">
              <controlPr defaultSize="0" autoFill="0" autoLine="0" autoPict="0">
                <anchor moveWithCells="1">
                  <from>
                    <xdr:col>1</xdr:col>
                    <xdr:colOff>19050</xdr:colOff>
                    <xdr:row>120</xdr:row>
                    <xdr:rowOff>171450</xdr:rowOff>
                  </from>
                  <to>
                    <xdr:col>3</xdr:col>
                    <xdr:colOff>219075</xdr:colOff>
                    <xdr:row>122</xdr:row>
                    <xdr:rowOff>28575</xdr:rowOff>
                  </to>
                </anchor>
              </controlPr>
            </control>
          </mc:Choice>
        </mc:AlternateContent>
        <mc:AlternateContent xmlns:mc="http://schemas.openxmlformats.org/markup-compatibility/2006">
          <mc:Choice Requires="x14">
            <control shapeId="8280" r:id="rId34" name="Check Box 88">
              <controlPr defaultSize="0" autoFill="0" autoLine="0" autoPict="0">
                <anchor moveWithCells="1">
                  <from>
                    <xdr:col>1</xdr:col>
                    <xdr:colOff>19050</xdr:colOff>
                    <xdr:row>122</xdr:row>
                    <xdr:rowOff>142875</xdr:rowOff>
                  </from>
                  <to>
                    <xdr:col>3</xdr:col>
                    <xdr:colOff>219075</xdr:colOff>
                    <xdr:row>124</xdr:row>
                    <xdr:rowOff>47625</xdr:rowOff>
                  </to>
                </anchor>
              </controlPr>
            </control>
          </mc:Choice>
        </mc:AlternateContent>
        <mc:AlternateContent xmlns:mc="http://schemas.openxmlformats.org/markup-compatibility/2006">
          <mc:Choice Requires="x14">
            <control shapeId="8281" r:id="rId35" name="Check Box 89">
              <controlPr defaultSize="0" autoFill="0" autoLine="0" autoPict="0">
                <anchor moveWithCells="1">
                  <from>
                    <xdr:col>1</xdr:col>
                    <xdr:colOff>9525</xdr:colOff>
                    <xdr:row>125</xdr:row>
                    <xdr:rowOff>142875</xdr:rowOff>
                  </from>
                  <to>
                    <xdr:col>3</xdr:col>
                    <xdr:colOff>209550</xdr:colOff>
                    <xdr:row>127</xdr:row>
                    <xdr:rowOff>47625</xdr:rowOff>
                  </to>
                </anchor>
              </controlPr>
            </control>
          </mc:Choice>
        </mc:AlternateContent>
        <mc:AlternateContent xmlns:mc="http://schemas.openxmlformats.org/markup-compatibility/2006">
          <mc:Choice Requires="x14">
            <control shapeId="8292" r:id="rId36" name="Check Box 100">
              <controlPr defaultSize="0" autoFill="0" autoLine="0" autoPict="0">
                <anchor moveWithCells="1">
                  <from>
                    <xdr:col>12</xdr:col>
                    <xdr:colOff>9525</xdr:colOff>
                    <xdr:row>159</xdr:row>
                    <xdr:rowOff>323850</xdr:rowOff>
                  </from>
                  <to>
                    <xdr:col>13</xdr:col>
                    <xdr:colOff>419100</xdr:colOff>
                    <xdr:row>161</xdr:row>
                    <xdr:rowOff>28575</xdr:rowOff>
                  </to>
                </anchor>
              </controlPr>
            </control>
          </mc:Choice>
        </mc:AlternateContent>
        <mc:AlternateContent xmlns:mc="http://schemas.openxmlformats.org/markup-compatibility/2006">
          <mc:Choice Requires="x14">
            <control shapeId="8293" r:id="rId37" name="Check Box 101">
              <controlPr defaultSize="0" autoFill="0" autoLine="0" autoPict="0">
                <anchor moveWithCells="1">
                  <from>
                    <xdr:col>1</xdr:col>
                    <xdr:colOff>9525</xdr:colOff>
                    <xdr:row>170</xdr:row>
                    <xdr:rowOff>314325</xdr:rowOff>
                  </from>
                  <to>
                    <xdr:col>3</xdr:col>
                    <xdr:colOff>123825</xdr:colOff>
                    <xdr:row>172</xdr:row>
                    <xdr:rowOff>28575</xdr:rowOff>
                  </to>
                </anchor>
              </controlPr>
            </control>
          </mc:Choice>
        </mc:AlternateContent>
        <mc:AlternateContent xmlns:mc="http://schemas.openxmlformats.org/markup-compatibility/2006">
          <mc:Choice Requires="x14">
            <control shapeId="8294" r:id="rId38" name="Check Box 102">
              <controlPr defaultSize="0" autoFill="0" autoLine="0" autoPict="0">
                <anchor moveWithCells="1">
                  <from>
                    <xdr:col>1</xdr:col>
                    <xdr:colOff>28575</xdr:colOff>
                    <xdr:row>173</xdr:row>
                    <xdr:rowOff>142875</xdr:rowOff>
                  </from>
                  <to>
                    <xdr:col>3</xdr:col>
                    <xdr:colOff>142875</xdr:colOff>
                    <xdr:row>175</xdr:row>
                    <xdr:rowOff>47625</xdr:rowOff>
                  </to>
                </anchor>
              </controlPr>
            </control>
          </mc:Choice>
        </mc:AlternateContent>
        <mc:AlternateContent xmlns:mc="http://schemas.openxmlformats.org/markup-compatibility/2006">
          <mc:Choice Requires="x14">
            <control shapeId="8297" r:id="rId39" name="Check Box 105">
              <controlPr defaultSize="0" autoFill="0" autoLine="0" autoPict="0">
                <anchor moveWithCells="1">
                  <from>
                    <xdr:col>12</xdr:col>
                    <xdr:colOff>9525</xdr:colOff>
                    <xdr:row>170</xdr:row>
                    <xdr:rowOff>323850</xdr:rowOff>
                  </from>
                  <to>
                    <xdr:col>13</xdr:col>
                    <xdr:colOff>419100</xdr:colOff>
                    <xdr:row>172</xdr:row>
                    <xdr:rowOff>28575</xdr:rowOff>
                  </to>
                </anchor>
              </controlPr>
            </control>
          </mc:Choice>
        </mc:AlternateContent>
        <mc:AlternateContent xmlns:mc="http://schemas.openxmlformats.org/markup-compatibility/2006">
          <mc:Choice Requires="x14">
            <control shapeId="8301" r:id="rId40" name="Check Box 109">
              <controlPr defaultSize="0" autoFill="0" autoLine="0" autoPict="0">
                <anchor moveWithCells="1">
                  <from>
                    <xdr:col>1</xdr:col>
                    <xdr:colOff>9525</xdr:colOff>
                    <xdr:row>178</xdr:row>
                    <xdr:rowOff>314325</xdr:rowOff>
                  </from>
                  <to>
                    <xdr:col>3</xdr:col>
                    <xdr:colOff>123825</xdr:colOff>
                    <xdr:row>180</xdr:row>
                    <xdr:rowOff>28575</xdr:rowOff>
                  </to>
                </anchor>
              </controlPr>
            </control>
          </mc:Choice>
        </mc:AlternateContent>
        <mc:AlternateContent xmlns:mc="http://schemas.openxmlformats.org/markup-compatibility/2006">
          <mc:Choice Requires="x14">
            <control shapeId="8302" r:id="rId41" name="Check Box 110">
              <controlPr defaultSize="0" autoFill="0" autoLine="0" autoPict="0">
                <anchor moveWithCells="1">
                  <from>
                    <xdr:col>1</xdr:col>
                    <xdr:colOff>28575</xdr:colOff>
                    <xdr:row>181</xdr:row>
                    <xdr:rowOff>142875</xdr:rowOff>
                  </from>
                  <to>
                    <xdr:col>3</xdr:col>
                    <xdr:colOff>142875</xdr:colOff>
                    <xdr:row>183</xdr:row>
                    <xdr:rowOff>47625</xdr:rowOff>
                  </to>
                </anchor>
              </controlPr>
            </control>
          </mc:Choice>
        </mc:AlternateContent>
        <mc:AlternateContent xmlns:mc="http://schemas.openxmlformats.org/markup-compatibility/2006">
          <mc:Choice Requires="x14">
            <control shapeId="8303" r:id="rId42" name="Check Box 111">
              <controlPr defaultSize="0" autoFill="0" autoLine="0" autoPict="0">
                <anchor moveWithCells="1">
                  <from>
                    <xdr:col>12</xdr:col>
                    <xdr:colOff>9525</xdr:colOff>
                    <xdr:row>178</xdr:row>
                    <xdr:rowOff>323850</xdr:rowOff>
                  </from>
                  <to>
                    <xdr:col>13</xdr:col>
                    <xdr:colOff>419100</xdr:colOff>
                    <xdr:row>180</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2:M273"/>
  <sheetViews>
    <sheetView zoomScale="90" zoomScaleNormal="90" workbookViewId="0">
      <selection activeCell="A9" sqref="A9:L273"/>
    </sheetView>
  </sheetViews>
  <sheetFormatPr defaultColWidth="11.42578125" defaultRowHeight="12.75"/>
  <cols>
    <col min="1" max="1" width="12.5703125" customWidth="1"/>
    <col min="2" max="2" width="25.7109375" customWidth="1"/>
    <col min="3" max="3" width="57.28515625" customWidth="1"/>
    <col min="4" max="12" width="9.5703125" customWidth="1"/>
  </cols>
  <sheetData>
    <row r="2" spans="1:13" ht="20.25">
      <c r="A2" s="213" t="s">
        <v>509</v>
      </c>
      <c r="B2" s="214"/>
    </row>
    <row r="3" spans="1:13" ht="13.5" thickBot="1"/>
    <row r="4" spans="1:13" ht="17.25" thickTop="1" thickBot="1">
      <c r="A4" s="415"/>
      <c r="B4" s="415"/>
      <c r="C4" s="416"/>
      <c r="D4" s="417" t="s">
        <v>33</v>
      </c>
      <c r="E4" s="418"/>
      <c r="F4" s="419"/>
      <c r="G4" s="417" t="s">
        <v>34</v>
      </c>
      <c r="H4" s="418"/>
      <c r="I4" s="419"/>
      <c r="J4" s="420" t="s">
        <v>35</v>
      </c>
      <c r="K4" s="421"/>
      <c r="L4" s="422"/>
    </row>
    <row r="5" spans="1:13" ht="14.25" customHeight="1" thickTop="1">
      <c r="A5" s="215"/>
      <c r="B5" s="216"/>
      <c r="C5" s="216"/>
      <c r="D5" s="425" t="s">
        <v>38</v>
      </c>
      <c r="E5" s="427" t="s">
        <v>39</v>
      </c>
      <c r="F5" s="429" t="s">
        <v>216</v>
      </c>
      <c r="G5" s="425" t="s">
        <v>40</v>
      </c>
      <c r="H5" s="427" t="s">
        <v>41</v>
      </c>
      <c r="I5" s="434" t="s">
        <v>217</v>
      </c>
      <c r="J5" s="431" t="s">
        <v>42</v>
      </c>
      <c r="K5" s="433" t="s">
        <v>214</v>
      </c>
      <c r="L5" s="423" t="s">
        <v>218</v>
      </c>
    </row>
    <row r="6" spans="1:13" ht="15.75">
      <c r="A6" s="215"/>
      <c r="B6" s="216"/>
      <c r="C6" s="216"/>
      <c r="D6" s="426"/>
      <c r="E6" s="428"/>
      <c r="F6" s="430"/>
      <c r="G6" s="426"/>
      <c r="H6" s="428"/>
      <c r="I6" s="435"/>
      <c r="J6" s="432"/>
      <c r="K6" s="428"/>
      <c r="L6" s="424"/>
    </row>
    <row r="7" spans="1:13" ht="33" customHeight="1" thickBot="1">
      <c r="A7" s="215" t="s">
        <v>36</v>
      </c>
      <c r="B7" s="216"/>
      <c r="C7" s="216" t="s">
        <v>37</v>
      </c>
      <c r="D7" s="426"/>
      <c r="E7" s="428"/>
      <c r="F7" s="430"/>
      <c r="G7" s="426"/>
      <c r="H7" s="428"/>
      <c r="I7" s="435"/>
      <c r="J7" s="432"/>
      <c r="K7" s="428"/>
      <c r="L7" s="424"/>
    </row>
    <row r="8" spans="1:13" ht="13.5" thickBot="1">
      <c r="A8" s="217" t="s">
        <v>43</v>
      </c>
      <c r="B8" s="218"/>
      <c r="C8" s="219"/>
      <c r="D8" s="220"/>
      <c r="E8" s="221"/>
      <c r="F8" s="222"/>
      <c r="G8" s="221"/>
      <c r="H8" s="221"/>
      <c r="I8" s="221"/>
      <c r="J8" s="220"/>
      <c r="K8" s="223"/>
      <c r="L8" s="222"/>
    </row>
    <row r="9" spans="1:13">
      <c r="A9" s="224">
        <v>2001</v>
      </c>
      <c r="B9" s="225" t="s">
        <v>44</v>
      </c>
      <c r="C9" s="226" t="s">
        <v>45</v>
      </c>
      <c r="D9" s="227">
        <v>4.0999999999999996</v>
      </c>
      <c r="E9" s="228">
        <v>1000</v>
      </c>
      <c r="F9" s="229">
        <v>4.0999999999999995E-3</v>
      </c>
      <c r="G9" s="230">
        <v>0.69</v>
      </c>
      <c r="H9" s="228">
        <v>10</v>
      </c>
      <c r="I9" s="231">
        <v>6.8999999999999992E-2</v>
      </c>
      <c r="J9" s="227">
        <v>0.05</v>
      </c>
      <c r="K9" s="228" t="s">
        <v>46</v>
      </c>
      <c r="L9" s="229" t="s">
        <v>47</v>
      </c>
      <c r="M9" t="s">
        <v>52</v>
      </c>
    </row>
    <row r="10" spans="1:13">
      <c r="A10" s="232">
        <v>2002</v>
      </c>
      <c r="B10" s="233" t="s">
        <v>44</v>
      </c>
      <c r="C10" s="234" t="s">
        <v>48</v>
      </c>
      <c r="D10" s="235">
        <v>6.7</v>
      </c>
      <c r="E10" s="236">
        <v>5000</v>
      </c>
      <c r="F10" s="237">
        <v>1.34E-3</v>
      </c>
      <c r="G10" s="238">
        <v>0.5</v>
      </c>
      <c r="H10" s="236">
        <v>10</v>
      </c>
      <c r="I10" s="239">
        <v>0.05</v>
      </c>
      <c r="J10" s="235">
        <v>0.05</v>
      </c>
      <c r="K10" s="236" t="s">
        <v>46</v>
      </c>
      <c r="L10" s="237" t="s">
        <v>47</v>
      </c>
    </row>
    <row r="11" spans="1:13">
      <c r="A11" s="232">
        <v>2003</v>
      </c>
      <c r="B11" s="233" t="s">
        <v>44</v>
      </c>
      <c r="C11" s="234" t="s">
        <v>49</v>
      </c>
      <c r="D11" s="235">
        <v>40</v>
      </c>
      <c r="E11" s="236">
        <v>1000</v>
      </c>
      <c r="F11" s="237">
        <v>0.04</v>
      </c>
      <c r="G11" s="238">
        <v>1.35</v>
      </c>
      <c r="H11" s="236">
        <v>10</v>
      </c>
      <c r="I11" s="239">
        <v>0.13500000000000001</v>
      </c>
      <c r="J11" s="235">
        <v>0.05</v>
      </c>
      <c r="K11" s="236" t="s">
        <v>46</v>
      </c>
      <c r="L11" s="237" t="s">
        <v>50</v>
      </c>
    </row>
    <row r="12" spans="1:13">
      <c r="A12" s="232">
        <v>2004</v>
      </c>
      <c r="B12" s="233" t="s">
        <v>44</v>
      </c>
      <c r="C12" s="234" t="s">
        <v>51</v>
      </c>
      <c r="D12" s="235">
        <v>8.64</v>
      </c>
      <c r="E12" s="236">
        <v>1000</v>
      </c>
      <c r="F12" s="237">
        <v>8.6400000000000001E-3</v>
      </c>
      <c r="G12" s="238">
        <v>0.95</v>
      </c>
      <c r="H12" s="236">
        <v>10</v>
      </c>
      <c r="I12" s="239">
        <v>9.5000000000000001E-2</v>
      </c>
      <c r="J12" s="235">
        <v>0.05</v>
      </c>
      <c r="K12" s="236" t="s">
        <v>46</v>
      </c>
      <c r="L12" s="237" t="s">
        <v>52</v>
      </c>
    </row>
    <row r="13" spans="1:13">
      <c r="A13" s="232">
        <v>2005</v>
      </c>
      <c r="B13" s="233" t="s">
        <v>44</v>
      </c>
      <c r="C13" s="234" t="s">
        <v>53</v>
      </c>
      <c r="D13" s="235">
        <v>2.8</v>
      </c>
      <c r="E13" s="236">
        <v>1000</v>
      </c>
      <c r="F13" s="237">
        <v>2.8E-3</v>
      </c>
      <c r="G13" s="238">
        <v>0.39100000000000001</v>
      </c>
      <c r="H13" s="236">
        <v>10</v>
      </c>
      <c r="I13" s="239">
        <v>3.9100000000000003E-2</v>
      </c>
      <c r="J13" s="235">
        <v>0.05</v>
      </c>
      <c r="K13" s="236" t="s">
        <v>46</v>
      </c>
      <c r="L13" s="237" t="s">
        <v>50</v>
      </c>
    </row>
    <row r="14" spans="1:13">
      <c r="A14" s="232">
        <v>2006</v>
      </c>
      <c r="B14" s="233" t="s">
        <v>44</v>
      </c>
      <c r="C14" s="234" t="s">
        <v>54</v>
      </c>
      <c r="D14" s="235">
        <v>15</v>
      </c>
      <c r="E14" s="236">
        <v>1000</v>
      </c>
      <c r="F14" s="237">
        <v>1.4999999999999999E-2</v>
      </c>
      <c r="G14" s="238">
        <v>0.41899999999999998</v>
      </c>
      <c r="H14" s="236">
        <v>10</v>
      </c>
      <c r="I14" s="239">
        <v>4.19E-2</v>
      </c>
      <c r="J14" s="235">
        <v>0.05</v>
      </c>
      <c r="K14" s="236" t="s">
        <v>46</v>
      </c>
      <c r="L14" s="237" t="s">
        <v>50</v>
      </c>
    </row>
    <row r="15" spans="1:13">
      <c r="A15" s="232">
        <v>2007</v>
      </c>
      <c r="B15" s="233" t="s">
        <v>44</v>
      </c>
      <c r="C15" s="234" t="s">
        <v>55</v>
      </c>
      <c r="D15" s="235">
        <v>27</v>
      </c>
      <c r="E15" s="236">
        <v>1000</v>
      </c>
      <c r="F15" s="237">
        <v>2.7E-2</v>
      </c>
      <c r="G15" s="238">
        <v>0.2</v>
      </c>
      <c r="H15" s="236">
        <v>10</v>
      </c>
      <c r="I15" s="239">
        <v>0.02</v>
      </c>
      <c r="J15" s="235">
        <v>0.05</v>
      </c>
      <c r="K15" s="236" t="s">
        <v>46</v>
      </c>
      <c r="L15" s="237" t="s">
        <v>50</v>
      </c>
    </row>
    <row r="16" spans="1:13">
      <c r="A16" s="232">
        <v>2008</v>
      </c>
      <c r="B16" s="233" t="s">
        <v>44</v>
      </c>
      <c r="C16" s="234" t="s">
        <v>56</v>
      </c>
      <c r="D16" s="235">
        <v>7.1</v>
      </c>
      <c r="E16" s="236">
        <v>1000</v>
      </c>
      <c r="F16" s="237">
        <v>7.0999999999999995E-3</v>
      </c>
      <c r="G16" s="238">
        <v>1.9</v>
      </c>
      <c r="H16" s="236">
        <v>50</v>
      </c>
      <c r="I16" s="239">
        <v>3.7999999999999999E-2</v>
      </c>
      <c r="J16" s="235">
        <v>0.05</v>
      </c>
      <c r="K16" s="236" t="s">
        <v>46</v>
      </c>
      <c r="L16" s="237" t="s">
        <v>52</v>
      </c>
    </row>
    <row r="17" spans="1:12">
      <c r="A17" s="232">
        <v>2009</v>
      </c>
      <c r="B17" s="233" t="s">
        <v>44</v>
      </c>
      <c r="C17" s="234" t="s">
        <v>57</v>
      </c>
      <c r="D17" s="235">
        <v>4.5999999999999996</v>
      </c>
      <c r="E17" s="236">
        <v>1000</v>
      </c>
      <c r="F17" s="237">
        <v>4.5999999999999999E-3</v>
      </c>
      <c r="G17" s="238">
        <v>0.14000000000000001</v>
      </c>
      <c r="H17" s="236">
        <v>10</v>
      </c>
      <c r="I17" s="239">
        <v>1.4000000000000002E-2</v>
      </c>
      <c r="J17" s="235">
        <v>0.05</v>
      </c>
      <c r="K17" s="236" t="s">
        <v>46</v>
      </c>
      <c r="L17" s="237" t="s">
        <v>50</v>
      </c>
    </row>
    <row r="18" spans="1:12">
      <c r="A18" s="232">
        <v>2010</v>
      </c>
      <c r="B18" s="233" t="s">
        <v>44</v>
      </c>
      <c r="C18" s="234" t="s">
        <v>536</v>
      </c>
      <c r="D18" s="235">
        <v>0.38600000000000001</v>
      </c>
      <c r="E18" s="236">
        <v>1000</v>
      </c>
      <c r="F18" s="272">
        <v>3.86E-4</v>
      </c>
      <c r="G18" s="240"/>
      <c r="H18" s="241"/>
      <c r="I18" s="273">
        <v>3.86E-4</v>
      </c>
      <c r="J18" s="235">
        <v>0.05</v>
      </c>
      <c r="K18" s="236" t="s">
        <v>46</v>
      </c>
      <c r="L18" s="237" t="s">
        <v>50</v>
      </c>
    </row>
    <row r="19" spans="1:12">
      <c r="A19" s="232">
        <v>2011</v>
      </c>
      <c r="B19" s="233" t="s">
        <v>44</v>
      </c>
      <c r="C19" s="234" t="s">
        <v>58</v>
      </c>
      <c r="D19" s="235">
        <v>18</v>
      </c>
      <c r="E19" s="236">
        <v>1000</v>
      </c>
      <c r="F19" s="237">
        <v>1.7999999999999999E-2</v>
      </c>
      <c r="G19" s="240"/>
      <c r="H19" s="241"/>
      <c r="I19" s="239">
        <v>1.7999999999999999E-2</v>
      </c>
      <c r="J19" s="235">
        <v>0.05</v>
      </c>
      <c r="K19" s="236" t="s">
        <v>46</v>
      </c>
      <c r="L19" s="237" t="s">
        <v>52</v>
      </c>
    </row>
    <row r="20" spans="1:12">
      <c r="A20" s="232">
        <v>2012</v>
      </c>
      <c r="B20" s="233" t="s">
        <v>44</v>
      </c>
      <c r="C20" s="234" t="s">
        <v>59</v>
      </c>
      <c r="D20" s="235">
        <v>2</v>
      </c>
      <c r="E20" s="236">
        <v>1000</v>
      </c>
      <c r="F20" s="237">
        <v>2E-3</v>
      </c>
      <c r="G20" s="240"/>
      <c r="H20" s="241"/>
      <c r="I20" s="239">
        <v>2E-3</v>
      </c>
      <c r="J20" s="235">
        <v>0.05</v>
      </c>
      <c r="K20" s="236" t="s">
        <v>46</v>
      </c>
      <c r="L20" s="237" t="s">
        <v>52</v>
      </c>
    </row>
    <row r="21" spans="1:12">
      <c r="A21" s="232">
        <v>2013</v>
      </c>
      <c r="B21" s="233" t="s">
        <v>44</v>
      </c>
      <c r="C21" s="234" t="s">
        <v>60</v>
      </c>
      <c r="D21" s="235">
        <v>0.73</v>
      </c>
      <c r="E21" s="236">
        <v>1000</v>
      </c>
      <c r="F21" s="237">
        <v>7.2999999999999996E-4</v>
      </c>
      <c r="G21" s="240"/>
      <c r="H21" s="241"/>
      <c r="I21" s="239">
        <v>7.2999999999999996E-4</v>
      </c>
      <c r="J21" s="235">
        <v>0.05</v>
      </c>
      <c r="K21" s="236" t="s">
        <v>46</v>
      </c>
      <c r="L21" s="237" t="s">
        <v>52</v>
      </c>
    </row>
    <row r="22" spans="1:12">
      <c r="A22" s="232">
        <v>2014</v>
      </c>
      <c r="B22" s="233" t="s">
        <v>44</v>
      </c>
      <c r="C22" s="234" t="s">
        <v>61</v>
      </c>
      <c r="D22" s="235">
        <v>100</v>
      </c>
      <c r="E22" s="236">
        <v>1000</v>
      </c>
      <c r="F22" s="237">
        <v>0.1</v>
      </c>
      <c r="G22" s="240"/>
      <c r="H22" s="241"/>
      <c r="I22" s="239">
        <v>0.1</v>
      </c>
      <c r="J22" s="235">
        <v>0.05</v>
      </c>
      <c r="K22" s="236" t="s">
        <v>46</v>
      </c>
      <c r="L22" s="237" t="s">
        <v>52</v>
      </c>
    </row>
    <row r="23" spans="1:12">
      <c r="A23" s="232">
        <v>2015</v>
      </c>
      <c r="B23" s="233" t="s">
        <v>44</v>
      </c>
      <c r="C23" s="234" t="s">
        <v>62</v>
      </c>
      <c r="D23" s="235">
        <v>6.6</v>
      </c>
      <c r="E23" s="236">
        <v>1000</v>
      </c>
      <c r="F23" s="237">
        <v>6.6E-3</v>
      </c>
      <c r="G23" s="240"/>
      <c r="H23" s="241"/>
      <c r="I23" s="239">
        <v>6.6E-3</v>
      </c>
      <c r="J23" s="235">
        <v>0.05</v>
      </c>
      <c r="K23" s="236" t="s">
        <v>46</v>
      </c>
      <c r="L23" s="237" t="s">
        <v>50</v>
      </c>
    </row>
    <row r="24" spans="1:12">
      <c r="A24" s="232">
        <v>2016</v>
      </c>
      <c r="B24" s="233" t="s">
        <v>44</v>
      </c>
      <c r="C24" s="234" t="s">
        <v>63</v>
      </c>
      <c r="D24" s="235">
        <v>0.88</v>
      </c>
      <c r="E24" s="236">
        <v>1000</v>
      </c>
      <c r="F24" s="237">
        <v>8.8000000000000003E-4</v>
      </c>
      <c r="G24" s="240"/>
      <c r="H24" s="241"/>
      <c r="I24" s="239">
        <v>8.8000000000000003E-4</v>
      </c>
      <c r="J24" s="235">
        <v>0.05</v>
      </c>
      <c r="K24" s="236" t="s">
        <v>46</v>
      </c>
      <c r="L24" s="237" t="s">
        <v>52</v>
      </c>
    </row>
    <row r="25" spans="1:12">
      <c r="A25" s="232">
        <v>2017</v>
      </c>
      <c r="B25" s="233" t="s">
        <v>44</v>
      </c>
      <c r="C25" s="234" t="s">
        <v>64</v>
      </c>
      <c r="D25" s="235">
        <v>1.96</v>
      </c>
      <c r="E25" s="236">
        <v>1000</v>
      </c>
      <c r="F25" s="237">
        <v>1.9599999999999999E-3</v>
      </c>
      <c r="G25" s="240"/>
      <c r="H25" s="241"/>
      <c r="I25" s="239">
        <v>1.9599999999999999E-3</v>
      </c>
      <c r="J25" s="235">
        <v>0.5</v>
      </c>
      <c r="K25" s="236" t="s">
        <v>65</v>
      </c>
      <c r="L25" s="237" t="s">
        <v>52</v>
      </c>
    </row>
    <row r="26" spans="1:12">
      <c r="A26" s="232">
        <v>2018</v>
      </c>
      <c r="B26" s="233" t="s">
        <v>44</v>
      </c>
      <c r="C26" s="234" t="s">
        <v>66</v>
      </c>
      <c r="D26" s="235">
        <v>10</v>
      </c>
      <c r="E26" s="236">
        <v>1000</v>
      </c>
      <c r="F26" s="237">
        <v>0.01</v>
      </c>
      <c r="G26" s="240"/>
      <c r="H26" s="241"/>
      <c r="I26" s="239">
        <v>0.01</v>
      </c>
      <c r="J26" s="235">
        <v>0.05</v>
      </c>
      <c r="K26" s="236" t="s">
        <v>46</v>
      </c>
      <c r="L26" s="237" t="s">
        <v>52</v>
      </c>
    </row>
    <row r="27" spans="1:12">
      <c r="A27" s="232">
        <v>2019</v>
      </c>
      <c r="B27" s="233" t="s">
        <v>44</v>
      </c>
      <c r="C27" s="234" t="s">
        <v>67</v>
      </c>
      <c r="D27" s="235">
        <v>6.1</v>
      </c>
      <c r="E27" s="236">
        <v>1000</v>
      </c>
      <c r="F27" s="237">
        <v>6.0999999999999995E-3</v>
      </c>
      <c r="G27" s="240"/>
      <c r="H27" s="241"/>
      <c r="I27" s="239">
        <v>6.0999999999999995E-3</v>
      </c>
      <c r="J27" s="235">
        <v>0.05</v>
      </c>
      <c r="K27" s="236" t="s">
        <v>46</v>
      </c>
      <c r="L27" s="237" t="s">
        <v>52</v>
      </c>
    </row>
    <row r="28" spans="1:12" ht="25.5">
      <c r="A28" s="242">
        <v>2020</v>
      </c>
      <c r="B28" s="233" t="s">
        <v>44</v>
      </c>
      <c r="C28" s="243" t="s">
        <v>537</v>
      </c>
      <c r="D28" s="235">
        <v>10</v>
      </c>
      <c r="E28" s="236">
        <v>1000</v>
      </c>
      <c r="F28" s="237">
        <v>0.01</v>
      </c>
      <c r="G28" s="240"/>
      <c r="H28" s="241"/>
      <c r="I28" s="239">
        <v>0.01</v>
      </c>
      <c r="J28" s="235">
        <v>0.05</v>
      </c>
      <c r="K28" s="236" t="s">
        <v>46</v>
      </c>
      <c r="L28" s="237" t="s">
        <v>52</v>
      </c>
    </row>
    <row r="29" spans="1:12">
      <c r="A29" s="232">
        <v>2021</v>
      </c>
      <c r="B29" s="233" t="s">
        <v>44</v>
      </c>
      <c r="C29" s="234" t="s">
        <v>68</v>
      </c>
      <c r="D29" s="235">
        <v>9</v>
      </c>
      <c r="E29" s="236">
        <v>10000</v>
      </c>
      <c r="F29" s="237">
        <v>8.9999999999999998E-4</v>
      </c>
      <c r="G29" s="238">
        <v>0.25</v>
      </c>
      <c r="H29" s="236">
        <v>50</v>
      </c>
      <c r="I29" s="239">
        <v>5.0000000000000001E-3</v>
      </c>
      <c r="J29" s="235">
        <v>0.05</v>
      </c>
      <c r="K29" s="236" t="s">
        <v>46</v>
      </c>
      <c r="L29" s="237" t="s">
        <v>47</v>
      </c>
    </row>
    <row r="30" spans="1:12">
      <c r="A30" s="232">
        <v>2022</v>
      </c>
      <c r="B30" s="233" t="s">
        <v>44</v>
      </c>
      <c r="C30" s="234" t="s">
        <v>69</v>
      </c>
      <c r="D30" s="235">
        <v>0.80649999999999999</v>
      </c>
      <c r="E30" s="236">
        <v>1000</v>
      </c>
      <c r="F30" s="237">
        <v>8.0650000000000003E-4</v>
      </c>
      <c r="G30" s="238">
        <v>0.23</v>
      </c>
      <c r="H30" s="236">
        <v>50</v>
      </c>
      <c r="I30" s="239">
        <v>4.5999999999999999E-3</v>
      </c>
      <c r="J30" s="235">
        <v>0.05</v>
      </c>
      <c r="K30" s="236" t="s">
        <v>46</v>
      </c>
      <c r="L30" s="237" t="s">
        <v>47</v>
      </c>
    </row>
    <row r="31" spans="1:12">
      <c r="A31" s="232">
        <v>2023</v>
      </c>
      <c r="B31" s="233" t="s">
        <v>44</v>
      </c>
      <c r="C31" s="234" t="s">
        <v>70</v>
      </c>
      <c r="D31" s="235">
        <v>3.3</v>
      </c>
      <c r="E31" s="236">
        <v>10000</v>
      </c>
      <c r="F31" s="237">
        <v>3.3E-4</v>
      </c>
      <c r="G31" s="238">
        <v>1.2</v>
      </c>
      <c r="H31" s="236">
        <v>50</v>
      </c>
      <c r="I31" s="239">
        <v>2.4E-2</v>
      </c>
      <c r="J31" s="235">
        <v>0.05</v>
      </c>
      <c r="K31" s="236" t="s">
        <v>46</v>
      </c>
      <c r="L31" s="237" t="s">
        <v>47</v>
      </c>
    </row>
    <row r="32" spans="1:12">
      <c r="A32" s="232">
        <v>2024</v>
      </c>
      <c r="B32" s="233" t="s">
        <v>44</v>
      </c>
      <c r="C32" s="234" t="s">
        <v>71</v>
      </c>
      <c r="D32" s="235">
        <v>0.5</v>
      </c>
      <c r="E32" s="236">
        <v>5000</v>
      </c>
      <c r="F32" s="237">
        <v>1E-4</v>
      </c>
      <c r="G32" s="240"/>
      <c r="H32" s="241"/>
      <c r="I32" s="239">
        <v>1E-4</v>
      </c>
      <c r="J32" s="235">
        <v>0.05</v>
      </c>
      <c r="K32" s="236" t="s">
        <v>46</v>
      </c>
      <c r="L32" s="237" t="s">
        <v>47</v>
      </c>
    </row>
    <row r="33" spans="1:12">
      <c r="A33" s="232">
        <v>2025</v>
      </c>
      <c r="B33" s="233" t="s">
        <v>44</v>
      </c>
      <c r="C33" s="234" t="s">
        <v>538</v>
      </c>
      <c r="D33" s="235">
        <v>22</v>
      </c>
      <c r="E33" s="236">
        <v>1000</v>
      </c>
      <c r="F33" s="237">
        <v>2.1999999999999999E-2</v>
      </c>
      <c r="G33" s="238">
        <v>10</v>
      </c>
      <c r="H33" s="236">
        <v>100</v>
      </c>
      <c r="I33" s="239">
        <v>0.1</v>
      </c>
      <c r="J33" s="235">
        <v>0.05</v>
      </c>
      <c r="K33" s="236" t="s">
        <v>46</v>
      </c>
      <c r="L33" s="237" t="s">
        <v>50</v>
      </c>
    </row>
    <row r="34" spans="1:12">
      <c r="A34" s="232">
        <v>2026</v>
      </c>
      <c r="B34" s="233" t="s">
        <v>44</v>
      </c>
      <c r="C34" s="234" t="s">
        <v>539</v>
      </c>
      <c r="D34" s="235">
        <v>56</v>
      </c>
      <c r="E34" s="236">
        <v>10000</v>
      </c>
      <c r="F34" s="237">
        <v>5.5999999999999999E-3</v>
      </c>
      <c r="G34" s="240"/>
      <c r="H34" s="241"/>
      <c r="I34" s="239">
        <v>5.5999999999999999E-3</v>
      </c>
      <c r="J34" s="235">
        <v>0.05</v>
      </c>
      <c r="K34" s="236" t="s">
        <v>46</v>
      </c>
      <c r="L34" s="237" t="s">
        <v>50</v>
      </c>
    </row>
    <row r="35" spans="1:12">
      <c r="A35" s="232">
        <v>2027</v>
      </c>
      <c r="B35" s="233" t="s">
        <v>44</v>
      </c>
      <c r="C35" s="234" t="s">
        <v>72</v>
      </c>
      <c r="D35" s="235">
        <v>100</v>
      </c>
      <c r="E35" s="236">
        <v>10000</v>
      </c>
      <c r="F35" s="237">
        <v>0.01</v>
      </c>
      <c r="G35" s="240"/>
      <c r="H35" s="241"/>
      <c r="I35" s="239">
        <v>0.01</v>
      </c>
      <c r="J35" s="235">
        <v>0.05</v>
      </c>
      <c r="K35" s="236" t="s">
        <v>46</v>
      </c>
      <c r="L35" s="237" t="s">
        <v>52</v>
      </c>
    </row>
    <row r="36" spans="1:12">
      <c r="A36" s="232">
        <v>2028</v>
      </c>
      <c r="B36" s="233" t="s">
        <v>44</v>
      </c>
      <c r="C36" s="234" t="s">
        <v>215</v>
      </c>
      <c r="D36" s="235">
        <v>8.8000000000000007</v>
      </c>
      <c r="E36" s="236">
        <v>1000</v>
      </c>
      <c r="F36" s="237">
        <v>8.8000000000000005E-3</v>
      </c>
      <c r="G36" s="238">
        <v>5</v>
      </c>
      <c r="H36" s="236">
        <v>100</v>
      </c>
      <c r="I36" s="239">
        <v>0.05</v>
      </c>
      <c r="J36" s="235">
        <v>0.05</v>
      </c>
      <c r="K36" s="236" t="s">
        <v>46</v>
      </c>
      <c r="L36" s="237" t="s">
        <v>52</v>
      </c>
    </row>
    <row r="37" spans="1:12">
      <c r="A37" s="232">
        <v>2029</v>
      </c>
      <c r="B37" s="233" t="s">
        <v>44</v>
      </c>
      <c r="C37" s="234" t="s">
        <v>73</v>
      </c>
      <c r="D37" s="235">
        <v>38</v>
      </c>
      <c r="E37" s="236">
        <v>1000</v>
      </c>
      <c r="F37" s="237">
        <v>3.7999999999999999E-2</v>
      </c>
      <c r="G37" s="240"/>
      <c r="H37" s="241"/>
      <c r="I37" s="239">
        <v>3.7999999999999999E-2</v>
      </c>
      <c r="J37" s="235">
        <v>0.05</v>
      </c>
      <c r="K37" s="236" t="s">
        <v>46</v>
      </c>
      <c r="L37" s="237" t="s">
        <v>47</v>
      </c>
    </row>
    <row r="38" spans="1:12">
      <c r="A38" s="232">
        <v>2030</v>
      </c>
      <c r="B38" s="233" t="s">
        <v>44</v>
      </c>
      <c r="C38" s="234" t="s">
        <v>74</v>
      </c>
      <c r="D38" s="235">
        <v>0.1</v>
      </c>
      <c r="E38" s="236">
        <v>1000</v>
      </c>
      <c r="F38" s="237">
        <v>1E-4</v>
      </c>
      <c r="G38" s="238">
        <v>0.32</v>
      </c>
      <c r="H38" s="236">
        <v>100</v>
      </c>
      <c r="I38" s="239">
        <v>3.2000000000000002E-3</v>
      </c>
      <c r="J38" s="235">
        <v>0.5</v>
      </c>
      <c r="K38" s="236" t="s">
        <v>65</v>
      </c>
      <c r="L38" s="237" t="s">
        <v>52</v>
      </c>
    </row>
    <row r="39" spans="1:12">
      <c r="A39" s="232">
        <v>2031</v>
      </c>
      <c r="B39" s="233" t="s">
        <v>44</v>
      </c>
      <c r="C39" s="234" t="s">
        <v>75</v>
      </c>
      <c r="D39" s="235">
        <v>238</v>
      </c>
      <c r="E39" s="236">
        <v>1000</v>
      </c>
      <c r="F39" s="237">
        <v>0.23799999999999999</v>
      </c>
      <c r="G39" s="240"/>
      <c r="H39" s="241"/>
      <c r="I39" s="239">
        <v>0.23799999999999999</v>
      </c>
      <c r="J39" s="235">
        <v>0.05</v>
      </c>
      <c r="K39" s="236" t="s">
        <v>46</v>
      </c>
      <c r="L39" s="237" t="s">
        <v>50</v>
      </c>
    </row>
    <row r="40" spans="1:12" ht="13.5" thickBot="1">
      <c r="A40" s="244">
        <v>2032</v>
      </c>
      <c r="B40" s="245" t="s">
        <v>44</v>
      </c>
      <c r="C40" s="246" t="s">
        <v>76</v>
      </c>
      <c r="D40" s="247">
        <v>25.1</v>
      </c>
      <c r="E40" s="248">
        <v>1000</v>
      </c>
      <c r="F40" s="249">
        <v>2.5100000000000001E-2</v>
      </c>
      <c r="G40" s="250">
        <v>12.5</v>
      </c>
      <c r="H40" s="248">
        <v>50</v>
      </c>
      <c r="I40" s="251">
        <v>0.25</v>
      </c>
      <c r="J40" s="247">
        <v>0.05</v>
      </c>
      <c r="K40" s="248" t="s">
        <v>46</v>
      </c>
      <c r="L40" s="249" t="s">
        <v>50</v>
      </c>
    </row>
    <row r="41" spans="1:12">
      <c r="A41" s="224">
        <v>2107</v>
      </c>
      <c r="B41" s="225" t="s">
        <v>77</v>
      </c>
      <c r="C41" s="226" t="s">
        <v>78</v>
      </c>
      <c r="D41" s="227">
        <v>37.299999999999997</v>
      </c>
      <c r="E41" s="228">
        <v>5000</v>
      </c>
      <c r="F41" s="229">
        <v>7.4599999999999996E-3</v>
      </c>
      <c r="G41" s="230">
        <v>1.5</v>
      </c>
      <c r="H41" s="228">
        <v>10</v>
      </c>
      <c r="I41" s="231">
        <v>0.15</v>
      </c>
      <c r="J41" s="227">
        <v>0.05</v>
      </c>
      <c r="K41" s="228" t="s">
        <v>46</v>
      </c>
      <c r="L41" s="229" t="s">
        <v>52</v>
      </c>
    </row>
    <row r="42" spans="1:12" ht="25.5">
      <c r="A42" s="232">
        <v>2108</v>
      </c>
      <c r="B42" s="233" t="s">
        <v>77</v>
      </c>
      <c r="C42" s="234" t="s">
        <v>79</v>
      </c>
      <c r="D42" s="235">
        <v>5</v>
      </c>
      <c r="E42" s="236">
        <v>1000</v>
      </c>
      <c r="F42" s="237">
        <v>5.0000000000000001E-3</v>
      </c>
      <c r="G42" s="238">
        <v>1.5</v>
      </c>
      <c r="H42" s="236">
        <v>10</v>
      </c>
      <c r="I42" s="239">
        <v>0.15</v>
      </c>
      <c r="J42" s="235">
        <v>0.05</v>
      </c>
      <c r="K42" s="236" t="s">
        <v>46</v>
      </c>
      <c r="L42" s="237" t="s">
        <v>50</v>
      </c>
    </row>
    <row r="43" spans="1:12">
      <c r="A43" s="232">
        <v>2112</v>
      </c>
      <c r="B43" s="233" t="s">
        <v>77</v>
      </c>
      <c r="C43" s="234" t="s">
        <v>80</v>
      </c>
      <c r="D43" s="235">
        <v>0.23</v>
      </c>
      <c r="E43" s="236">
        <v>1000</v>
      </c>
      <c r="F43" s="237">
        <v>2.3000000000000001E-4</v>
      </c>
      <c r="G43" s="238">
        <v>0.18</v>
      </c>
      <c r="H43" s="236">
        <v>100</v>
      </c>
      <c r="I43" s="239">
        <v>1.8E-3</v>
      </c>
      <c r="J43" s="235">
        <v>0.05</v>
      </c>
      <c r="K43" s="236" t="s">
        <v>46</v>
      </c>
      <c r="L43" s="237" t="s">
        <v>52</v>
      </c>
    </row>
    <row r="44" spans="1:12">
      <c r="A44" s="232">
        <v>2113</v>
      </c>
      <c r="B44" s="233" t="s">
        <v>77</v>
      </c>
      <c r="C44" s="234" t="s">
        <v>540</v>
      </c>
      <c r="D44" s="235">
        <v>1</v>
      </c>
      <c r="E44" s="236">
        <v>1000</v>
      </c>
      <c r="F44" s="237">
        <v>1E-3</v>
      </c>
      <c r="G44" s="238">
        <v>0.74</v>
      </c>
      <c r="H44" s="236">
        <v>10</v>
      </c>
      <c r="I44" s="239">
        <v>7.3999999999999996E-2</v>
      </c>
      <c r="J44" s="235">
        <v>0.05</v>
      </c>
      <c r="K44" s="236" t="s">
        <v>46</v>
      </c>
      <c r="L44" s="237" t="s">
        <v>52</v>
      </c>
    </row>
    <row r="45" spans="1:12">
      <c r="A45" s="232">
        <v>2114</v>
      </c>
      <c r="B45" s="233" t="s">
        <v>77</v>
      </c>
      <c r="C45" s="234" t="s">
        <v>541</v>
      </c>
      <c r="D45" s="235">
        <v>1</v>
      </c>
      <c r="E45" s="236">
        <v>1000</v>
      </c>
      <c r="F45" s="237">
        <v>1E-3</v>
      </c>
      <c r="G45" s="238">
        <v>0.6</v>
      </c>
      <c r="H45" s="236">
        <v>10</v>
      </c>
      <c r="I45" s="239">
        <v>0.06</v>
      </c>
      <c r="J45" s="235">
        <v>0.05</v>
      </c>
      <c r="K45" s="236" t="s">
        <v>46</v>
      </c>
      <c r="L45" s="237" t="s">
        <v>52</v>
      </c>
    </row>
    <row r="46" spans="1:12">
      <c r="A46" s="232">
        <v>2115</v>
      </c>
      <c r="B46" s="233" t="s">
        <v>77</v>
      </c>
      <c r="C46" s="234" t="s">
        <v>542</v>
      </c>
      <c r="D46" s="235">
        <v>1</v>
      </c>
      <c r="E46" s="236">
        <v>1000</v>
      </c>
      <c r="F46" s="237">
        <v>1E-3</v>
      </c>
      <c r="G46" s="238">
        <v>2.5</v>
      </c>
      <c r="H46" s="236">
        <v>10</v>
      </c>
      <c r="I46" s="239">
        <v>0.25</v>
      </c>
      <c r="J46" s="235">
        <v>0.05</v>
      </c>
      <c r="K46" s="236" t="s">
        <v>46</v>
      </c>
      <c r="L46" s="237" t="s">
        <v>52</v>
      </c>
    </row>
    <row r="47" spans="1:12">
      <c r="A47" s="232">
        <v>2130</v>
      </c>
      <c r="B47" s="233" t="s">
        <v>77</v>
      </c>
      <c r="C47" s="234" t="s">
        <v>81</v>
      </c>
      <c r="D47" s="235">
        <v>0.78</v>
      </c>
      <c r="E47" s="236">
        <v>1000</v>
      </c>
      <c r="F47" s="237">
        <v>7.7999999999999999E-4</v>
      </c>
      <c r="G47" s="238">
        <v>0.36</v>
      </c>
      <c r="H47" s="236">
        <v>100</v>
      </c>
      <c r="I47" s="239">
        <v>3.5999999999999999E-3</v>
      </c>
      <c r="J47" s="235">
        <v>0.05</v>
      </c>
      <c r="K47" s="236" t="s">
        <v>46</v>
      </c>
      <c r="L47" s="237" t="s">
        <v>52</v>
      </c>
    </row>
    <row r="48" spans="1:12">
      <c r="A48" s="232">
        <v>2131</v>
      </c>
      <c r="B48" s="233" t="s">
        <v>77</v>
      </c>
      <c r="C48" s="234" t="s">
        <v>82</v>
      </c>
      <c r="D48" s="235">
        <v>3.2</v>
      </c>
      <c r="E48" s="236">
        <v>5000</v>
      </c>
      <c r="F48" s="237">
        <v>6.4000000000000005E-4</v>
      </c>
      <c r="G48" s="238">
        <v>1</v>
      </c>
      <c r="H48" s="236">
        <v>100</v>
      </c>
      <c r="I48" s="239">
        <v>0.01</v>
      </c>
      <c r="J48" s="235">
        <v>0.05</v>
      </c>
      <c r="K48" s="236" t="s">
        <v>46</v>
      </c>
      <c r="L48" s="237" t="s">
        <v>52</v>
      </c>
    </row>
    <row r="49" spans="1:12">
      <c r="A49" s="232">
        <v>2132</v>
      </c>
      <c r="B49" s="233" t="s">
        <v>77</v>
      </c>
      <c r="C49" s="234" t="s">
        <v>83</v>
      </c>
      <c r="D49" s="235">
        <v>10</v>
      </c>
      <c r="E49" s="236">
        <v>1000</v>
      </c>
      <c r="F49" s="237">
        <v>0.01</v>
      </c>
      <c r="G49" s="240"/>
      <c r="H49" s="241"/>
      <c r="I49" s="239">
        <v>0.01</v>
      </c>
      <c r="J49" s="235">
        <v>0.05</v>
      </c>
      <c r="K49" s="236" t="s">
        <v>46</v>
      </c>
      <c r="L49" s="237" t="s">
        <v>50</v>
      </c>
    </row>
    <row r="50" spans="1:12">
      <c r="A50" s="232">
        <v>2133</v>
      </c>
      <c r="B50" s="233" t="s">
        <v>77</v>
      </c>
      <c r="C50" s="234" t="s">
        <v>84</v>
      </c>
      <c r="D50" s="235">
        <v>10</v>
      </c>
      <c r="E50" s="236">
        <v>1000</v>
      </c>
      <c r="F50" s="237">
        <v>0.01</v>
      </c>
      <c r="G50" s="238">
        <v>6.25</v>
      </c>
      <c r="H50" s="236">
        <v>50</v>
      </c>
      <c r="I50" s="239">
        <v>0.125</v>
      </c>
      <c r="J50" s="235">
        <v>0.05</v>
      </c>
      <c r="K50" s="236" t="s">
        <v>46</v>
      </c>
      <c r="L50" s="237" t="s">
        <v>50</v>
      </c>
    </row>
    <row r="51" spans="1:12">
      <c r="A51" s="232">
        <v>2134</v>
      </c>
      <c r="B51" s="233" t="s">
        <v>77</v>
      </c>
      <c r="C51" s="234" t="s">
        <v>85</v>
      </c>
      <c r="D51" s="235">
        <v>28</v>
      </c>
      <c r="E51" s="236">
        <v>1000</v>
      </c>
      <c r="F51" s="237">
        <v>2.8000000000000001E-2</v>
      </c>
      <c r="G51" s="238">
        <v>1.75</v>
      </c>
      <c r="H51" s="236">
        <v>10</v>
      </c>
      <c r="I51" s="239">
        <v>0.17499999999999999</v>
      </c>
      <c r="J51" s="235">
        <v>0.05</v>
      </c>
      <c r="K51" s="236" t="s">
        <v>46</v>
      </c>
      <c r="L51" s="237" t="s">
        <v>50</v>
      </c>
    </row>
    <row r="52" spans="1:12">
      <c r="A52" s="232">
        <v>2135</v>
      </c>
      <c r="B52" s="233" t="s">
        <v>77</v>
      </c>
      <c r="C52" s="234" t="s">
        <v>86</v>
      </c>
      <c r="D52" s="235">
        <v>480</v>
      </c>
      <c r="E52" s="236">
        <v>1000</v>
      </c>
      <c r="F52" s="237">
        <v>0.48</v>
      </c>
      <c r="G52" s="238">
        <v>100</v>
      </c>
      <c r="H52" s="236">
        <v>100</v>
      </c>
      <c r="I52" s="239">
        <v>1</v>
      </c>
      <c r="J52" s="235">
        <v>0.05</v>
      </c>
      <c r="K52" s="236" t="s">
        <v>46</v>
      </c>
      <c r="L52" s="237" t="s">
        <v>47</v>
      </c>
    </row>
    <row r="53" spans="1:12">
      <c r="A53" s="232">
        <v>2136</v>
      </c>
      <c r="B53" s="233" t="s">
        <v>77</v>
      </c>
      <c r="C53" s="234" t="s">
        <v>543</v>
      </c>
      <c r="D53" s="235">
        <v>8.6999999999999993</v>
      </c>
      <c r="E53" s="236">
        <v>1000</v>
      </c>
      <c r="F53" s="237">
        <v>8.6999999999999994E-3</v>
      </c>
      <c r="G53" s="238">
        <v>1.75</v>
      </c>
      <c r="H53" s="236">
        <v>10</v>
      </c>
      <c r="I53" s="239">
        <v>0.17499999999999999</v>
      </c>
      <c r="J53" s="235">
        <v>0.05</v>
      </c>
      <c r="K53" s="236" t="s">
        <v>46</v>
      </c>
      <c r="L53" s="237" t="s">
        <v>50</v>
      </c>
    </row>
    <row r="54" spans="1:12">
      <c r="A54" s="232">
        <v>2137</v>
      </c>
      <c r="B54" s="233" t="s">
        <v>77</v>
      </c>
      <c r="C54" s="234" t="s">
        <v>544</v>
      </c>
      <c r="D54" s="235"/>
      <c r="E54" s="236"/>
      <c r="F54" s="237">
        <v>0.17499999999999999</v>
      </c>
      <c r="G54" s="238">
        <v>1.75</v>
      </c>
      <c r="H54" s="236">
        <v>10</v>
      </c>
      <c r="I54" s="239">
        <v>0.17499999999999999</v>
      </c>
      <c r="J54" s="235">
        <v>0.05</v>
      </c>
      <c r="K54" s="236" t="s">
        <v>46</v>
      </c>
      <c r="L54" s="237" t="s">
        <v>52</v>
      </c>
    </row>
    <row r="55" spans="1:12">
      <c r="A55" s="232">
        <v>2138</v>
      </c>
      <c r="B55" s="233" t="s">
        <v>77</v>
      </c>
      <c r="C55" s="234" t="s">
        <v>87</v>
      </c>
      <c r="D55" s="252">
        <v>9.5</v>
      </c>
      <c r="E55" s="241">
        <v>1000</v>
      </c>
      <c r="F55" s="237">
        <v>9.4999999999999998E-3</v>
      </c>
      <c r="G55" s="238">
        <v>7.0000000000000007E-2</v>
      </c>
      <c r="H55" s="236">
        <v>10</v>
      </c>
      <c r="I55" s="239">
        <v>7.000000000000001E-3</v>
      </c>
      <c r="J55" s="235">
        <v>0.05</v>
      </c>
      <c r="K55" s="236" t="s">
        <v>46</v>
      </c>
      <c r="L55" s="237" t="s">
        <v>50</v>
      </c>
    </row>
    <row r="56" spans="1:12">
      <c r="A56" s="232">
        <v>2139</v>
      </c>
      <c r="B56" s="233" t="s">
        <v>77</v>
      </c>
      <c r="C56" s="234" t="s">
        <v>545</v>
      </c>
      <c r="D56" s="235">
        <v>17</v>
      </c>
      <c r="E56" s="236">
        <v>10000</v>
      </c>
      <c r="F56" s="237">
        <v>1.6999999999999999E-3</v>
      </c>
      <c r="G56" s="238"/>
      <c r="H56" s="236"/>
      <c r="I56" s="239">
        <v>1.6999999999999999E-3</v>
      </c>
      <c r="J56" s="235">
        <v>0.05</v>
      </c>
      <c r="K56" s="236" t="s">
        <v>46</v>
      </c>
      <c r="L56" s="237" t="s">
        <v>50</v>
      </c>
    </row>
    <row r="57" spans="1:12">
      <c r="A57" s="232">
        <v>2140</v>
      </c>
      <c r="B57" s="233" t="s">
        <v>77</v>
      </c>
      <c r="C57" s="234" t="s">
        <v>88</v>
      </c>
      <c r="D57" s="235">
        <v>2</v>
      </c>
      <c r="E57" s="236">
        <v>1000</v>
      </c>
      <c r="F57" s="237">
        <v>2E-3</v>
      </c>
      <c r="G57" s="240">
        <v>7.0000000000000007E-2</v>
      </c>
      <c r="H57" s="241">
        <v>10</v>
      </c>
      <c r="I57" s="239">
        <v>7.000000000000001E-3</v>
      </c>
      <c r="J57" s="235">
        <v>0.05</v>
      </c>
      <c r="K57" s="236" t="s">
        <v>46</v>
      </c>
      <c r="L57" s="237" t="s">
        <v>50</v>
      </c>
    </row>
    <row r="58" spans="1:12">
      <c r="A58" s="232">
        <v>2141</v>
      </c>
      <c r="B58" s="233" t="s">
        <v>77</v>
      </c>
      <c r="C58" s="234" t="s">
        <v>89</v>
      </c>
      <c r="D58" s="235">
        <v>7</v>
      </c>
      <c r="E58" s="236">
        <v>1000</v>
      </c>
      <c r="F58" s="237">
        <v>7.0000000000000001E-3</v>
      </c>
      <c r="G58" s="238"/>
      <c r="H58" s="236"/>
      <c r="I58" s="239">
        <v>7.0000000000000001E-3</v>
      </c>
      <c r="J58" s="235">
        <v>0.05</v>
      </c>
      <c r="K58" s="236" t="s">
        <v>46</v>
      </c>
      <c r="L58" s="237" t="s">
        <v>50</v>
      </c>
    </row>
    <row r="59" spans="1:12">
      <c r="A59" s="232">
        <v>2142</v>
      </c>
      <c r="B59" s="233" t="s">
        <v>77</v>
      </c>
      <c r="C59" s="234" t="s">
        <v>90</v>
      </c>
      <c r="D59" s="235">
        <v>6.4</v>
      </c>
      <c r="E59" s="236">
        <v>5000</v>
      </c>
      <c r="F59" s="237">
        <v>1.2800000000000001E-3</v>
      </c>
      <c r="G59" s="240"/>
      <c r="H59" s="241"/>
      <c r="I59" s="239">
        <v>1.2800000000000001E-3</v>
      </c>
      <c r="J59" s="235">
        <v>0.05</v>
      </c>
      <c r="K59" s="236" t="s">
        <v>46</v>
      </c>
      <c r="L59" s="237" t="s">
        <v>52</v>
      </c>
    </row>
    <row r="60" spans="1:12">
      <c r="A60" s="232">
        <v>2143</v>
      </c>
      <c r="B60" s="233" t="s">
        <v>77</v>
      </c>
      <c r="C60" s="234" t="s">
        <v>91</v>
      </c>
      <c r="D60" s="235">
        <v>0.1</v>
      </c>
      <c r="E60" s="236">
        <v>5000</v>
      </c>
      <c r="F60" s="237">
        <v>2.0000000000000002E-5</v>
      </c>
      <c r="G60" s="240">
        <v>1.0699999999999999E-2</v>
      </c>
      <c r="H60" s="241">
        <v>50</v>
      </c>
      <c r="I60" s="239">
        <v>2.14E-4</v>
      </c>
      <c r="J60" s="235">
        <v>0.05</v>
      </c>
      <c r="K60" s="236" t="s">
        <v>46</v>
      </c>
      <c r="L60" s="237" t="s">
        <v>52</v>
      </c>
    </row>
    <row r="61" spans="1:12">
      <c r="A61" s="232">
        <v>2144</v>
      </c>
      <c r="B61" s="233" t="s">
        <v>77</v>
      </c>
      <c r="C61" s="234" t="s">
        <v>92</v>
      </c>
      <c r="D61" s="235">
        <v>0.42</v>
      </c>
      <c r="E61" s="236">
        <v>5000</v>
      </c>
      <c r="F61" s="237">
        <v>8.3999999999999995E-5</v>
      </c>
      <c r="G61" s="238">
        <v>1.0699999999999999E-2</v>
      </c>
      <c r="H61" s="236">
        <v>50</v>
      </c>
      <c r="I61" s="239">
        <v>2.14E-4</v>
      </c>
      <c r="J61" s="235">
        <v>0.05</v>
      </c>
      <c r="K61" s="236" t="s">
        <v>46</v>
      </c>
      <c r="L61" s="237" t="s">
        <v>52</v>
      </c>
    </row>
    <row r="62" spans="1:12">
      <c r="A62" s="232">
        <v>2146</v>
      </c>
      <c r="B62" s="233" t="s">
        <v>77</v>
      </c>
      <c r="C62" s="234" t="s">
        <v>93</v>
      </c>
      <c r="D62" s="235">
        <v>3.6</v>
      </c>
      <c r="E62" s="236">
        <v>1000</v>
      </c>
      <c r="F62" s="237">
        <v>3.5999999999999999E-3</v>
      </c>
      <c r="G62" s="238"/>
      <c r="H62" s="236"/>
      <c r="I62" s="239">
        <v>3.5999999999999999E-3</v>
      </c>
      <c r="J62" s="235">
        <v>0.5</v>
      </c>
      <c r="K62" s="236" t="s">
        <v>65</v>
      </c>
      <c r="L62" s="237" t="s">
        <v>52</v>
      </c>
    </row>
    <row r="63" spans="1:12">
      <c r="A63" s="232">
        <v>2147</v>
      </c>
      <c r="B63" s="233" t="s">
        <v>77</v>
      </c>
      <c r="C63" s="234" t="s">
        <v>546</v>
      </c>
      <c r="D63" s="235">
        <v>0.35249999999999998</v>
      </c>
      <c r="E63" s="236">
        <v>10000</v>
      </c>
      <c r="F63" s="237">
        <v>3.5249999999999996E-5</v>
      </c>
      <c r="G63" s="240">
        <v>4.4000000000000003E-3</v>
      </c>
      <c r="H63" s="241">
        <v>50</v>
      </c>
      <c r="I63" s="239">
        <v>8.8000000000000011E-5</v>
      </c>
      <c r="J63" s="235">
        <v>0.05</v>
      </c>
      <c r="K63" s="236" t="s">
        <v>46</v>
      </c>
      <c r="L63" s="237" t="s">
        <v>52</v>
      </c>
    </row>
    <row r="64" spans="1:12">
      <c r="A64" s="232">
        <v>2148</v>
      </c>
      <c r="B64" s="233" t="s">
        <v>77</v>
      </c>
      <c r="C64" s="234" t="s">
        <v>547</v>
      </c>
      <c r="D64" s="235">
        <v>0.01</v>
      </c>
      <c r="E64" s="236">
        <v>1000</v>
      </c>
      <c r="F64" s="253">
        <v>1.0000000000000001E-5</v>
      </c>
      <c r="G64" s="238"/>
      <c r="H64" s="236"/>
      <c r="I64" s="239">
        <v>1.0000000000000001E-5</v>
      </c>
      <c r="J64" s="235">
        <v>0.05</v>
      </c>
      <c r="K64" s="236" t="s">
        <v>46</v>
      </c>
      <c r="L64" s="237" t="s">
        <v>52</v>
      </c>
    </row>
    <row r="65" spans="1:12">
      <c r="A65" s="232">
        <v>2149</v>
      </c>
      <c r="B65" s="233" t="s">
        <v>77</v>
      </c>
      <c r="C65" s="234" t="s">
        <v>94</v>
      </c>
      <c r="D65" s="235">
        <v>1</v>
      </c>
      <c r="E65" s="236">
        <v>10000</v>
      </c>
      <c r="F65" s="237">
        <v>1E-4</v>
      </c>
      <c r="G65" s="240"/>
      <c r="H65" s="241"/>
      <c r="I65" s="239">
        <v>1E-4</v>
      </c>
      <c r="J65" s="235">
        <v>0.5</v>
      </c>
      <c r="K65" s="236" t="s">
        <v>65</v>
      </c>
      <c r="L65" s="237" t="s">
        <v>52</v>
      </c>
    </row>
    <row r="66" spans="1:12">
      <c r="A66" s="232">
        <v>2150</v>
      </c>
      <c r="B66" s="233" t="s">
        <v>77</v>
      </c>
      <c r="C66" s="234" t="s">
        <v>95</v>
      </c>
      <c r="D66" s="235">
        <v>100</v>
      </c>
      <c r="E66" s="236">
        <v>1000</v>
      </c>
      <c r="F66" s="237">
        <v>0.1</v>
      </c>
      <c r="G66" s="240">
        <v>100</v>
      </c>
      <c r="H66" s="241">
        <v>50</v>
      </c>
      <c r="I66" s="239">
        <v>2</v>
      </c>
      <c r="J66" s="235">
        <v>0.05</v>
      </c>
      <c r="K66" s="236" t="s">
        <v>46</v>
      </c>
      <c r="L66" s="237" t="s">
        <v>52</v>
      </c>
    </row>
    <row r="67" spans="1:12">
      <c r="A67" s="232">
        <v>2151</v>
      </c>
      <c r="B67" s="233" t="s">
        <v>77</v>
      </c>
      <c r="C67" s="234" t="s">
        <v>96</v>
      </c>
      <c r="D67" s="235">
        <v>100</v>
      </c>
      <c r="E67" s="236">
        <v>1000</v>
      </c>
      <c r="F67" s="237">
        <v>0.1</v>
      </c>
      <c r="G67" s="238"/>
      <c r="H67" s="236"/>
      <c r="I67" s="239">
        <v>0.1</v>
      </c>
      <c r="J67" s="235">
        <v>0.5</v>
      </c>
      <c r="K67" s="236" t="s">
        <v>65</v>
      </c>
      <c r="L67" s="237" t="s">
        <v>52</v>
      </c>
    </row>
    <row r="68" spans="1:12">
      <c r="A68" s="232">
        <v>2152</v>
      </c>
      <c r="B68" s="233" t="s">
        <v>77</v>
      </c>
      <c r="C68" s="234" t="s">
        <v>97</v>
      </c>
      <c r="D68" s="235">
        <v>39</v>
      </c>
      <c r="E68" s="236">
        <v>1000</v>
      </c>
      <c r="F68" s="237">
        <v>3.9E-2</v>
      </c>
      <c r="G68" s="240">
        <v>3.2</v>
      </c>
      <c r="H68" s="241">
        <v>50</v>
      </c>
      <c r="I68" s="239">
        <v>6.4000000000000001E-2</v>
      </c>
      <c r="J68" s="235">
        <v>0.05</v>
      </c>
      <c r="K68" s="236" t="s">
        <v>46</v>
      </c>
      <c r="L68" s="237" t="s">
        <v>50</v>
      </c>
    </row>
    <row r="69" spans="1:12">
      <c r="A69" s="232">
        <v>2153</v>
      </c>
      <c r="B69" s="233" t="s">
        <v>77</v>
      </c>
      <c r="C69" s="234" t="s">
        <v>98</v>
      </c>
      <c r="D69" s="235">
        <v>100</v>
      </c>
      <c r="E69" s="236">
        <v>1000</v>
      </c>
      <c r="F69" s="237">
        <v>0.1</v>
      </c>
      <c r="G69" s="238">
        <v>100</v>
      </c>
      <c r="H69" s="236">
        <v>50</v>
      </c>
      <c r="I69" s="239">
        <v>2</v>
      </c>
      <c r="J69" s="235">
        <v>0.05</v>
      </c>
      <c r="K69" s="236" t="s">
        <v>46</v>
      </c>
      <c r="L69" s="237" t="s">
        <v>52</v>
      </c>
    </row>
    <row r="70" spans="1:12">
      <c r="A70" s="232">
        <v>2154</v>
      </c>
      <c r="B70" s="233" t="s">
        <v>77</v>
      </c>
      <c r="C70" s="234" t="s">
        <v>99</v>
      </c>
      <c r="D70" s="235">
        <v>12.1</v>
      </c>
      <c r="E70" s="236">
        <v>1000</v>
      </c>
      <c r="F70" s="237">
        <v>1.21E-2</v>
      </c>
      <c r="G70" s="238">
        <v>0.254</v>
      </c>
      <c r="H70" s="236">
        <v>10</v>
      </c>
      <c r="I70" s="239">
        <v>2.5399999999999999E-2</v>
      </c>
      <c r="J70" s="235">
        <v>0.05</v>
      </c>
      <c r="K70" s="236" t="s">
        <v>46</v>
      </c>
      <c r="L70" s="237" t="s">
        <v>50</v>
      </c>
    </row>
    <row r="71" spans="1:12">
      <c r="A71" s="232">
        <v>2155</v>
      </c>
      <c r="B71" s="233" t="s">
        <v>77</v>
      </c>
      <c r="C71" s="234" t="s">
        <v>548</v>
      </c>
      <c r="D71" s="235">
        <v>5</v>
      </c>
      <c r="E71" s="236">
        <v>1000</v>
      </c>
      <c r="F71" s="237">
        <v>5.0000000000000001E-3</v>
      </c>
      <c r="G71" s="238">
        <v>1.5</v>
      </c>
      <c r="H71" s="236">
        <v>10</v>
      </c>
      <c r="I71" s="239">
        <v>0.15</v>
      </c>
      <c r="J71" s="235">
        <v>0.05</v>
      </c>
      <c r="K71" s="236" t="s">
        <v>46</v>
      </c>
      <c r="L71" s="237" t="s">
        <v>50</v>
      </c>
    </row>
    <row r="72" spans="1:12">
      <c r="A72" s="232">
        <v>2156</v>
      </c>
      <c r="B72" s="233" t="s">
        <v>77</v>
      </c>
      <c r="C72" s="234" t="s">
        <v>549</v>
      </c>
      <c r="D72" s="235">
        <v>5</v>
      </c>
      <c r="E72" s="236">
        <v>1000</v>
      </c>
      <c r="F72" s="237">
        <v>5.0000000000000001E-3</v>
      </c>
      <c r="G72" s="238">
        <v>1.5</v>
      </c>
      <c r="H72" s="236">
        <v>10</v>
      </c>
      <c r="I72" s="239">
        <v>0.15</v>
      </c>
      <c r="J72" s="235">
        <v>0.05</v>
      </c>
      <c r="K72" s="236" t="s">
        <v>46</v>
      </c>
      <c r="L72" s="237" t="s">
        <v>50</v>
      </c>
    </row>
    <row r="73" spans="1:12">
      <c r="A73" s="232">
        <v>2157</v>
      </c>
      <c r="B73" s="233" t="s">
        <v>77</v>
      </c>
      <c r="C73" s="234" t="s">
        <v>550</v>
      </c>
      <c r="D73" s="235">
        <v>50</v>
      </c>
      <c r="E73" s="236">
        <v>1000</v>
      </c>
      <c r="F73" s="237">
        <v>0.05</v>
      </c>
      <c r="G73" s="238">
        <v>25</v>
      </c>
      <c r="H73" s="236">
        <v>10</v>
      </c>
      <c r="I73" s="239">
        <v>2.5</v>
      </c>
      <c r="J73" s="235">
        <v>0.05</v>
      </c>
      <c r="K73" s="236" t="s">
        <v>46</v>
      </c>
      <c r="L73" s="237" t="s">
        <v>50</v>
      </c>
    </row>
    <row r="74" spans="1:12">
      <c r="A74" s="232">
        <v>2158</v>
      </c>
      <c r="B74" s="233" t="s">
        <v>77</v>
      </c>
      <c r="C74" s="234" t="s">
        <v>551</v>
      </c>
      <c r="D74" s="235">
        <v>5</v>
      </c>
      <c r="E74" s="236">
        <v>1000</v>
      </c>
      <c r="F74" s="237">
        <v>5.0000000000000001E-3</v>
      </c>
      <c r="G74" s="238">
        <v>1.5</v>
      </c>
      <c r="H74" s="236">
        <v>10</v>
      </c>
      <c r="I74" s="239">
        <v>0.15</v>
      </c>
      <c r="J74" s="235">
        <v>0.05</v>
      </c>
      <c r="K74" s="236" t="s">
        <v>46</v>
      </c>
      <c r="L74" s="237" t="s">
        <v>52</v>
      </c>
    </row>
    <row r="75" spans="1:12">
      <c r="A75" s="232">
        <v>2159</v>
      </c>
      <c r="B75" s="233" t="s">
        <v>77</v>
      </c>
      <c r="C75" s="234" t="s">
        <v>100</v>
      </c>
      <c r="D75" s="235">
        <v>5</v>
      </c>
      <c r="E75" s="236">
        <v>1000</v>
      </c>
      <c r="F75" s="237">
        <v>5.0000000000000001E-3</v>
      </c>
      <c r="G75" s="238">
        <v>1.5</v>
      </c>
      <c r="H75" s="236">
        <v>10</v>
      </c>
      <c r="I75" s="239">
        <v>0.15</v>
      </c>
      <c r="J75" s="235">
        <v>0.05</v>
      </c>
      <c r="K75" s="236" t="s">
        <v>46</v>
      </c>
      <c r="L75" s="237" t="s">
        <v>52</v>
      </c>
    </row>
    <row r="76" spans="1:12">
      <c r="A76" s="232">
        <v>2160</v>
      </c>
      <c r="B76" s="233" t="s">
        <v>77</v>
      </c>
      <c r="C76" s="234" t="s">
        <v>101</v>
      </c>
      <c r="D76" s="235">
        <v>50</v>
      </c>
      <c r="E76" s="236">
        <v>1000</v>
      </c>
      <c r="F76" s="237">
        <v>0.05</v>
      </c>
      <c r="G76" s="238">
        <v>25</v>
      </c>
      <c r="H76" s="236">
        <v>10</v>
      </c>
      <c r="I76" s="239">
        <v>2.5</v>
      </c>
      <c r="J76" s="235">
        <v>0.05</v>
      </c>
      <c r="K76" s="236" t="s">
        <v>46</v>
      </c>
      <c r="L76" s="237" t="s">
        <v>52</v>
      </c>
    </row>
    <row r="77" spans="1:12">
      <c r="A77" s="232">
        <v>2161</v>
      </c>
      <c r="B77" s="233" t="s">
        <v>77</v>
      </c>
      <c r="C77" s="234" t="s">
        <v>102</v>
      </c>
      <c r="D77" s="235">
        <v>0.43</v>
      </c>
      <c r="E77" s="236">
        <v>1000</v>
      </c>
      <c r="F77" s="237">
        <v>4.2999999999999999E-4</v>
      </c>
      <c r="G77" s="238">
        <v>0.28999999999999998</v>
      </c>
      <c r="H77" s="236">
        <v>10</v>
      </c>
      <c r="I77" s="239">
        <v>2.8999999999999998E-2</v>
      </c>
      <c r="J77" s="235">
        <v>0.05</v>
      </c>
      <c r="K77" s="236" t="s">
        <v>46</v>
      </c>
      <c r="L77" s="237" t="s">
        <v>50</v>
      </c>
    </row>
    <row r="78" spans="1:12">
      <c r="A78" s="232">
        <v>2162</v>
      </c>
      <c r="B78" s="233" t="s">
        <v>77</v>
      </c>
      <c r="C78" s="234" t="s">
        <v>103</v>
      </c>
      <c r="D78" s="235">
        <v>0.43</v>
      </c>
      <c r="E78" s="236">
        <v>1000</v>
      </c>
      <c r="F78" s="237">
        <v>4.2999999999999999E-4</v>
      </c>
      <c r="G78" s="238">
        <v>0.37</v>
      </c>
      <c r="H78" s="236">
        <v>10</v>
      </c>
      <c r="I78" s="239">
        <v>3.6999999999999998E-2</v>
      </c>
      <c r="J78" s="235">
        <v>0.05</v>
      </c>
      <c r="K78" s="236" t="s">
        <v>46</v>
      </c>
      <c r="L78" s="237" t="s">
        <v>50</v>
      </c>
    </row>
    <row r="79" spans="1:12">
      <c r="A79" s="232">
        <v>2163</v>
      </c>
      <c r="B79" s="233" t="s">
        <v>77</v>
      </c>
      <c r="C79" s="234" t="s">
        <v>104</v>
      </c>
      <c r="D79" s="235">
        <v>0.4</v>
      </c>
      <c r="E79" s="236">
        <v>1000</v>
      </c>
      <c r="F79" s="237">
        <v>4.0000000000000002E-4</v>
      </c>
      <c r="G79" s="238">
        <v>0.27</v>
      </c>
      <c r="H79" s="236">
        <v>10</v>
      </c>
      <c r="I79" s="239">
        <v>2.7000000000000003E-2</v>
      </c>
      <c r="J79" s="235">
        <v>0.05</v>
      </c>
      <c r="K79" s="236" t="s">
        <v>46</v>
      </c>
      <c r="L79" s="237" t="s">
        <v>50</v>
      </c>
    </row>
    <row r="80" spans="1:12">
      <c r="A80" s="232">
        <v>2164</v>
      </c>
      <c r="B80" s="233" t="s">
        <v>77</v>
      </c>
      <c r="C80" s="234" t="s">
        <v>105</v>
      </c>
      <c r="D80" s="235"/>
      <c r="E80" s="236"/>
      <c r="F80" s="237">
        <v>0.01</v>
      </c>
      <c r="G80" s="238">
        <v>0.1</v>
      </c>
      <c r="H80" s="236">
        <v>10</v>
      </c>
      <c r="I80" s="239">
        <v>0.01</v>
      </c>
      <c r="J80" s="235">
        <v>0.05</v>
      </c>
      <c r="K80" s="236" t="s">
        <v>46</v>
      </c>
      <c r="L80" s="237" t="s">
        <v>50</v>
      </c>
    </row>
    <row r="81" spans="1:12">
      <c r="A81" s="232">
        <v>2165</v>
      </c>
      <c r="B81" s="233" t="s">
        <v>77</v>
      </c>
      <c r="C81" s="234" t="s">
        <v>552</v>
      </c>
      <c r="D81" s="252">
        <v>0.4</v>
      </c>
      <c r="E81" s="241">
        <v>1000</v>
      </c>
      <c r="F81" s="237">
        <v>4.0000000000000002E-4</v>
      </c>
      <c r="G81" s="238">
        <v>0.12</v>
      </c>
      <c r="H81" s="236">
        <v>10</v>
      </c>
      <c r="I81" s="239">
        <v>1.2E-2</v>
      </c>
      <c r="J81" s="235">
        <v>0.05</v>
      </c>
      <c r="K81" s="236" t="s">
        <v>46</v>
      </c>
      <c r="L81" s="237" t="s">
        <v>50</v>
      </c>
    </row>
    <row r="82" spans="1:12">
      <c r="A82" s="232">
        <v>2166</v>
      </c>
      <c r="B82" s="233" t="s">
        <v>77</v>
      </c>
      <c r="C82" s="234" t="s">
        <v>106</v>
      </c>
      <c r="D82" s="235">
        <v>0.7</v>
      </c>
      <c r="E82" s="236">
        <v>1000</v>
      </c>
      <c r="F82" s="237">
        <v>6.9999999999999999E-4</v>
      </c>
      <c r="G82" s="238">
        <v>4.8600000000000003</v>
      </c>
      <c r="H82" s="236">
        <v>10</v>
      </c>
      <c r="I82" s="239">
        <v>0.48600000000000004</v>
      </c>
      <c r="J82" s="235">
        <v>0.05</v>
      </c>
      <c r="K82" s="236" t="s">
        <v>46</v>
      </c>
      <c r="L82" s="237" t="s">
        <v>50</v>
      </c>
    </row>
    <row r="83" spans="1:12">
      <c r="A83" s="232">
        <v>2167</v>
      </c>
      <c r="B83" s="233" t="s">
        <v>77</v>
      </c>
      <c r="C83" s="234" t="s">
        <v>107</v>
      </c>
      <c r="D83" s="235">
        <v>13</v>
      </c>
      <c r="E83" s="236">
        <v>1000</v>
      </c>
      <c r="F83" s="237">
        <v>1.2999999999999999E-2</v>
      </c>
      <c r="G83" s="238">
        <v>4.8600000000000003</v>
      </c>
      <c r="H83" s="236">
        <v>10</v>
      </c>
      <c r="I83" s="239">
        <v>0.48600000000000004</v>
      </c>
      <c r="J83" s="235">
        <v>0.05</v>
      </c>
      <c r="K83" s="236" t="s">
        <v>46</v>
      </c>
      <c r="L83" s="237" t="s">
        <v>553</v>
      </c>
    </row>
    <row r="84" spans="1:12">
      <c r="A84" s="232">
        <v>2168</v>
      </c>
      <c r="B84" s="233" t="s">
        <v>77</v>
      </c>
      <c r="C84" s="234" t="s">
        <v>108</v>
      </c>
      <c r="D84" s="235">
        <v>130</v>
      </c>
      <c r="E84" s="236">
        <v>1000</v>
      </c>
      <c r="F84" s="237">
        <v>0.13</v>
      </c>
      <c r="G84" s="238">
        <v>56</v>
      </c>
      <c r="H84" s="236">
        <v>10</v>
      </c>
      <c r="I84" s="239">
        <v>5.6</v>
      </c>
      <c r="J84" s="235">
        <v>0.05</v>
      </c>
      <c r="K84" s="236" t="s">
        <v>46</v>
      </c>
      <c r="L84" s="237" t="s">
        <v>52</v>
      </c>
    </row>
    <row r="85" spans="1:12">
      <c r="A85" s="232">
        <v>2170</v>
      </c>
      <c r="B85" s="233" t="s">
        <v>77</v>
      </c>
      <c r="C85" s="234" t="s">
        <v>109</v>
      </c>
      <c r="D85" s="235">
        <v>0.3</v>
      </c>
      <c r="E85" s="236">
        <v>1000</v>
      </c>
      <c r="F85" s="237">
        <v>2.9999999999999997E-4</v>
      </c>
      <c r="G85" s="238">
        <v>0.47</v>
      </c>
      <c r="H85" s="236">
        <v>10</v>
      </c>
      <c r="I85" s="239">
        <v>4.7E-2</v>
      </c>
      <c r="J85" s="235">
        <v>0.05</v>
      </c>
      <c r="K85" s="236" t="s">
        <v>46</v>
      </c>
      <c r="L85" s="237" t="s">
        <v>50</v>
      </c>
    </row>
    <row r="86" spans="1:12">
      <c r="A86" s="232">
        <v>2171</v>
      </c>
      <c r="B86" s="233" t="s">
        <v>77</v>
      </c>
      <c r="C86" s="234" t="s">
        <v>110</v>
      </c>
      <c r="D86" s="235">
        <v>1</v>
      </c>
      <c r="E86" s="236">
        <v>1000</v>
      </c>
      <c r="F86" s="237">
        <v>1E-3</v>
      </c>
      <c r="G86" s="238">
        <v>0.2</v>
      </c>
      <c r="H86" s="236">
        <v>10</v>
      </c>
      <c r="I86" s="239">
        <v>0.02</v>
      </c>
      <c r="J86" s="235">
        <v>0.05</v>
      </c>
      <c r="K86" s="236" t="s">
        <v>46</v>
      </c>
      <c r="L86" s="237" t="s">
        <v>52</v>
      </c>
    </row>
    <row r="87" spans="1:12">
      <c r="A87" s="232">
        <v>2172</v>
      </c>
      <c r="B87" s="233" t="s">
        <v>77</v>
      </c>
      <c r="C87" s="234" t="s">
        <v>111</v>
      </c>
      <c r="D87" s="235">
        <v>1</v>
      </c>
      <c r="E87" s="236">
        <v>1000</v>
      </c>
      <c r="F87" s="237">
        <v>1E-3</v>
      </c>
      <c r="G87" s="238">
        <v>0.39</v>
      </c>
      <c r="H87" s="236">
        <v>10</v>
      </c>
      <c r="I87" s="239">
        <v>3.9E-2</v>
      </c>
      <c r="J87" s="235">
        <v>0.05</v>
      </c>
      <c r="K87" s="236" t="s">
        <v>46</v>
      </c>
      <c r="L87" s="237" t="s">
        <v>50</v>
      </c>
    </row>
    <row r="88" spans="1:12">
      <c r="A88" s="232">
        <v>2173</v>
      </c>
      <c r="B88" s="233" t="s">
        <v>77</v>
      </c>
      <c r="C88" s="234" t="s">
        <v>112</v>
      </c>
      <c r="D88" s="235">
        <v>1</v>
      </c>
      <c r="E88" s="236">
        <v>1000</v>
      </c>
      <c r="F88" s="237">
        <v>1E-3</v>
      </c>
      <c r="G88" s="238">
        <v>1.52</v>
      </c>
      <c r="H88" s="236">
        <v>10</v>
      </c>
      <c r="I88" s="239">
        <v>0.152</v>
      </c>
      <c r="J88" s="235">
        <v>0.05</v>
      </c>
      <c r="K88" s="236" t="s">
        <v>46</v>
      </c>
      <c r="L88" s="237" t="s">
        <v>52</v>
      </c>
    </row>
    <row r="89" spans="1:12">
      <c r="A89" s="232">
        <v>2174</v>
      </c>
      <c r="B89" s="233" t="s">
        <v>77</v>
      </c>
      <c r="C89" s="234" t="s">
        <v>113</v>
      </c>
      <c r="D89" s="235"/>
      <c r="E89" s="236"/>
      <c r="F89" s="237">
        <v>5.4000000000000003E-3</v>
      </c>
      <c r="G89" s="238">
        <v>5.3999999999999999E-2</v>
      </c>
      <c r="H89" s="236">
        <v>10</v>
      </c>
      <c r="I89" s="239">
        <v>5.4000000000000003E-3</v>
      </c>
      <c r="J89" s="235">
        <v>0.05</v>
      </c>
      <c r="K89" s="236" t="s">
        <v>46</v>
      </c>
      <c r="L89" s="237" t="s">
        <v>50</v>
      </c>
    </row>
    <row r="90" spans="1:12">
      <c r="A90" s="232">
        <v>2175</v>
      </c>
      <c r="B90" s="233" t="s">
        <v>77</v>
      </c>
      <c r="C90" s="234" t="s">
        <v>114</v>
      </c>
      <c r="D90" s="252">
        <v>3.2</v>
      </c>
      <c r="E90" s="241">
        <v>1000</v>
      </c>
      <c r="F90" s="237">
        <v>3.2000000000000002E-3</v>
      </c>
      <c r="G90" s="238">
        <v>8.2000000000000003E-2</v>
      </c>
      <c r="H90" s="236">
        <v>10</v>
      </c>
      <c r="I90" s="239">
        <v>8.2000000000000007E-3</v>
      </c>
      <c r="J90" s="235">
        <v>0.05</v>
      </c>
      <c r="K90" s="236" t="s">
        <v>46</v>
      </c>
      <c r="L90" s="237" t="s">
        <v>50</v>
      </c>
    </row>
    <row r="91" spans="1:12">
      <c r="A91" s="232">
        <v>2176</v>
      </c>
      <c r="B91" s="233" t="s">
        <v>77</v>
      </c>
      <c r="C91" s="234" t="s">
        <v>115</v>
      </c>
      <c r="D91" s="235">
        <v>0.72</v>
      </c>
      <c r="E91" s="236">
        <v>1000</v>
      </c>
      <c r="F91" s="237">
        <v>7.1999999999999994E-4</v>
      </c>
      <c r="G91" s="238">
        <v>0.11</v>
      </c>
      <c r="H91" s="236">
        <v>10</v>
      </c>
      <c r="I91" s="239">
        <v>1.0999999999999999E-2</v>
      </c>
      <c r="J91" s="235">
        <v>0.05</v>
      </c>
      <c r="K91" s="236" t="s">
        <v>46</v>
      </c>
      <c r="L91" s="237" t="s">
        <v>50</v>
      </c>
    </row>
    <row r="92" spans="1:12">
      <c r="A92" s="232">
        <v>2177</v>
      </c>
      <c r="B92" s="233" t="s">
        <v>77</v>
      </c>
      <c r="C92" s="234" t="s">
        <v>116</v>
      </c>
      <c r="D92" s="235">
        <v>4.0999999999999996</v>
      </c>
      <c r="E92" s="236">
        <v>1000</v>
      </c>
      <c r="F92" s="237">
        <v>4.0999999999999995E-3</v>
      </c>
      <c r="G92" s="238">
        <v>28.6</v>
      </c>
      <c r="H92" s="236">
        <v>10</v>
      </c>
      <c r="I92" s="239">
        <v>2.8600000000000003</v>
      </c>
      <c r="J92" s="235">
        <v>0.05</v>
      </c>
      <c r="K92" s="236" t="s">
        <v>46</v>
      </c>
      <c r="L92" s="237" t="s">
        <v>50</v>
      </c>
    </row>
    <row r="93" spans="1:12">
      <c r="A93" s="232">
        <v>2178</v>
      </c>
      <c r="B93" s="233" t="s">
        <v>77</v>
      </c>
      <c r="C93" s="234" t="s">
        <v>117</v>
      </c>
      <c r="D93" s="235">
        <v>30</v>
      </c>
      <c r="E93" s="236">
        <v>1000</v>
      </c>
      <c r="F93" s="237">
        <v>0.03</v>
      </c>
      <c r="G93" s="238"/>
      <c r="H93" s="236"/>
      <c r="I93" s="239">
        <v>0.03</v>
      </c>
      <c r="J93" s="235">
        <v>0.05</v>
      </c>
      <c r="K93" s="236" t="s">
        <v>46</v>
      </c>
      <c r="L93" s="237" t="s">
        <v>50</v>
      </c>
    </row>
    <row r="94" spans="1:12">
      <c r="A94" s="232">
        <v>2179</v>
      </c>
      <c r="B94" s="233" t="s">
        <v>77</v>
      </c>
      <c r="C94" s="234" t="s">
        <v>118</v>
      </c>
      <c r="D94" s="235">
        <v>1.3</v>
      </c>
      <c r="E94" s="236">
        <v>1000</v>
      </c>
      <c r="F94" s="237">
        <v>1.2999999999999999E-3</v>
      </c>
      <c r="G94" s="240"/>
      <c r="H94" s="241"/>
      <c r="I94" s="239">
        <v>1.2999999999999999E-3</v>
      </c>
      <c r="J94" s="235">
        <v>0.05</v>
      </c>
      <c r="K94" s="236" t="s">
        <v>46</v>
      </c>
      <c r="L94" s="237" t="s">
        <v>52</v>
      </c>
    </row>
    <row r="95" spans="1:12">
      <c r="A95" s="254">
        <v>2180</v>
      </c>
      <c r="B95" s="255" t="s">
        <v>77</v>
      </c>
      <c r="C95" s="256" t="s">
        <v>483</v>
      </c>
      <c r="D95" s="257">
        <v>0.44900000000000001</v>
      </c>
      <c r="E95" s="258">
        <v>1000</v>
      </c>
      <c r="F95" s="259">
        <v>4.4900000000000002E-4</v>
      </c>
      <c r="G95" s="260"/>
      <c r="H95" s="261"/>
      <c r="I95" s="262">
        <v>4.4900000000000002E-4</v>
      </c>
      <c r="J95" s="257">
        <v>0.05</v>
      </c>
      <c r="K95" s="258" t="s">
        <v>46</v>
      </c>
      <c r="L95" s="259" t="s">
        <v>52</v>
      </c>
    </row>
    <row r="96" spans="1:12" ht="13.5" thickBot="1">
      <c r="A96" s="244">
        <v>2181</v>
      </c>
      <c r="B96" s="245" t="s">
        <v>77</v>
      </c>
      <c r="C96" s="246" t="s">
        <v>554</v>
      </c>
      <c r="D96" s="247">
        <v>2.95</v>
      </c>
      <c r="E96" s="248">
        <v>1000</v>
      </c>
      <c r="F96" s="249">
        <v>2.9500000000000004E-3</v>
      </c>
      <c r="G96" s="263">
        <v>1.76</v>
      </c>
      <c r="H96" s="264">
        <v>50</v>
      </c>
      <c r="I96" s="251">
        <v>3.5200000000000002E-2</v>
      </c>
      <c r="J96" s="247">
        <v>0.05</v>
      </c>
      <c r="K96" s="248" t="s">
        <v>46</v>
      </c>
      <c r="L96" s="249" t="s">
        <v>52</v>
      </c>
    </row>
    <row r="97" spans="1:12">
      <c r="A97" s="224">
        <v>2201</v>
      </c>
      <c r="B97" s="225" t="s">
        <v>119</v>
      </c>
      <c r="C97" s="226" t="s">
        <v>120</v>
      </c>
      <c r="D97" s="227">
        <v>1.7</v>
      </c>
      <c r="E97" s="228">
        <v>1000</v>
      </c>
      <c r="F97" s="265">
        <v>1.6999999999999999E-3</v>
      </c>
      <c r="G97" s="230">
        <v>0.13500000000000001</v>
      </c>
      <c r="H97" s="228">
        <v>10</v>
      </c>
      <c r="I97" s="231">
        <v>1.3500000000000002E-2</v>
      </c>
      <c r="J97" s="227">
        <v>0.05</v>
      </c>
      <c r="K97" s="228" t="s">
        <v>46</v>
      </c>
      <c r="L97" s="229" t="s">
        <v>50</v>
      </c>
    </row>
    <row r="98" spans="1:12">
      <c r="A98" s="232">
        <v>2202</v>
      </c>
      <c r="B98" s="233" t="s">
        <v>119</v>
      </c>
      <c r="C98" s="234" t="s">
        <v>121</v>
      </c>
      <c r="D98" s="235">
        <v>0.92500000000000004</v>
      </c>
      <c r="E98" s="236">
        <v>1000</v>
      </c>
      <c r="F98" s="266">
        <v>9.2500000000000004E-4</v>
      </c>
      <c r="G98" s="238">
        <v>0.13500000000000001</v>
      </c>
      <c r="H98" s="236">
        <v>10</v>
      </c>
      <c r="I98" s="239">
        <v>1.3500000000000002E-2</v>
      </c>
      <c r="J98" s="235">
        <v>0.05</v>
      </c>
      <c r="K98" s="236" t="s">
        <v>46</v>
      </c>
      <c r="L98" s="237" t="s">
        <v>50</v>
      </c>
    </row>
    <row r="99" spans="1:12">
      <c r="A99" s="232">
        <v>2203</v>
      </c>
      <c r="B99" s="233" t="s">
        <v>119</v>
      </c>
      <c r="C99" s="234" t="s">
        <v>122</v>
      </c>
      <c r="D99" s="235">
        <v>0.3</v>
      </c>
      <c r="E99" s="236">
        <v>1000</v>
      </c>
      <c r="F99" s="266">
        <v>2.9999999999999997E-4</v>
      </c>
      <c r="G99" s="240"/>
      <c r="H99" s="241"/>
      <c r="I99" s="239">
        <v>2.9999999999999997E-4</v>
      </c>
      <c r="J99" s="235">
        <v>0.05</v>
      </c>
      <c r="K99" s="236" t="s">
        <v>46</v>
      </c>
      <c r="L99" s="237" t="s">
        <v>50</v>
      </c>
    </row>
    <row r="100" spans="1:12">
      <c r="A100" s="232">
        <v>2204</v>
      </c>
      <c r="B100" s="233" t="s">
        <v>119</v>
      </c>
      <c r="C100" s="234" t="s">
        <v>123</v>
      </c>
      <c r="D100" s="235">
        <v>3.4</v>
      </c>
      <c r="E100" s="236">
        <v>1000</v>
      </c>
      <c r="F100" s="266">
        <v>3.3999999999999998E-3</v>
      </c>
      <c r="G100" s="240"/>
      <c r="H100" s="241"/>
      <c r="I100" s="239">
        <v>3.3999999999999998E-3</v>
      </c>
      <c r="J100" s="235">
        <v>0.05</v>
      </c>
      <c r="K100" s="236" t="s">
        <v>46</v>
      </c>
      <c r="L100" s="237" t="s">
        <v>50</v>
      </c>
    </row>
    <row r="101" spans="1:12">
      <c r="A101" s="232">
        <v>2205</v>
      </c>
      <c r="B101" s="233" t="s">
        <v>119</v>
      </c>
      <c r="C101" s="234" t="s">
        <v>124</v>
      </c>
      <c r="D101" s="235">
        <v>0.68</v>
      </c>
      <c r="E101" s="236">
        <v>5000</v>
      </c>
      <c r="F101" s="266">
        <v>1.36E-4</v>
      </c>
      <c r="G101" s="238">
        <v>0.3</v>
      </c>
      <c r="H101" s="236">
        <v>10</v>
      </c>
      <c r="I101" s="239">
        <v>0.03</v>
      </c>
      <c r="J101" s="235">
        <v>0.05</v>
      </c>
      <c r="K101" s="236" t="s">
        <v>46</v>
      </c>
      <c r="L101" s="237" t="s">
        <v>50</v>
      </c>
    </row>
    <row r="102" spans="1:12">
      <c r="A102" s="232">
        <v>2206</v>
      </c>
      <c r="B102" s="233" t="s">
        <v>119</v>
      </c>
      <c r="C102" s="234" t="s">
        <v>125</v>
      </c>
      <c r="D102" s="235">
        <v>0.13400000000000001</v>
      </c>
      <c r="E102" s="236">
        <v>1000</v>
      </c>
      <c r="F102" s="266">
        <v>1.34E-4</v>
      </c>
      <c r="G102" s="238">
        <v>6.7000000000000004E-2</v>
      </c>
      <c r="H102" s="236">
        <v>10</v>
      </c>
      <c r="I102" s="239">
        <v>6.7000000000000002E-3</v>
      </c>
      <c r="J102" s="235">
        <v>0.05</v>
      </c>
      <c r="K102" s="236" t="s">
        <v>46</v>
      </c>
      <c r="L102" s="237" t="s">
        <v>50</v>
      </c>
    </row>
    <row r="103" spans="1:12">
      <c r="A103" s="254">
        <v>2207</v>
      </c>
      <c r="B103" s="255" t="s">
        <v>119</v>
      </c>
      <c r="C103" s="256" t="s">
        <v>126</v>
      </c>
      <c r="D103" s="257">
        <v>3.45</v>
      </c>
      <c r="E103" s="258">
        <v>1000</v>
      </c>
      <c r="F103" s="267">
        <v>3.4500000000000004E-3</v>
      </c>
      <c r="G103" s="268"/>
      <c r="H103" s="258"/>
      <c r="I103" s="262">
        <v>3.4500000000000004E-3</v>
      </c>
      <c r="J103" s="257">
        <v>0.05</v>
      </c>
      <c r="K103" s="258" t="s">
        <v>46</v>
      </c>
      <c r="L103" s="237" t="s">
        <v>50</v>
      </c>
    </row>
    <row r="104" spans="1:12" ht="13.5" thickBot="1">
      <c r="A104" s="244">
        <v>2208</v>
      </c>
      <c r="B104" s="245" t="s">
        <v>119</v>
      </c>
      <c r="C104" s="246" t="s">
        <v>484</v>
      </c>
      <c r="D104" s="247">
        <v>1.1599999999999999</v>
      </c>
      <c r="E104" s="248">
        <v>1000</v>
      </c>
      <c r="F104" s="269">
        <v>1.16E-3</v>
      </c>
      <c r="G104" s="263"/>
      <c r="H104" s="264"/>
      <c r="I104" s="251">
        <v>1.16E-3</v>
      </c>
      <c r="J104" s="247">
        <v>0.05</v>
      </c>
      <c r="K104" s="248" t="s">
        <v>46</v>
      </c>
      <c r="L104" s="249" t="s">
        <v>50</v>
      </c>
    </row>
    <row r="105" spans="1:12" ht="25.5">
      <c r="A105" s="224">
        <v>2301</v>
      </c>
      <c r="B105" s="225" t="s">
        <v>127</v>
      </c>
      <c r="C105" s="226" t="s">
        <v>128</v>
      </c>
      <c r="D105" s="227">
        <v>0.08</v>
      </c>
      <c r="E105" s="228">
        <v>1000</v>
      </c>
      <c r="F105" s="229">
        <v>8.0000000000000007E-5</v>
      </c>
      <c r="G105" s="230">
        <v>6.7999999999999996E-3</v>
      </c>
      <c r="H105" s="228">
        <v>10</v>
      </c>
      <c r="I105" s="231">
        <v>6.7999999999999994E-4</v>
      </c>
      <c r="J105" s="227">
        <v>0.05</v>
      </c>
      <c r="K105" s="228" t="s">
        <v>46</v>
      </c>
      <c r="L105" s="229" t="s">
        <v>52</v>
      </c>
    </row>
    <row r="106" spans="1:12">
      <c r="A106" s="232">
        <v>2302</v>
      </c>
      <c r="B106" s="233" t="s">
        <v>127</v>
      </c>
      <c r="C106" s="234" t="s">
        <v>129</v>
      </c>
      <c r="D106" s="235">
        <v>0.05</v>
      </c>
      <c r="E106" s="236">
        <v>1000</v>
      </c>
      <c r="F106" s="237">
        <v>5.0000000000000002E-5</v>
      </c>
      <c r="G106" s="238">
        <v>2.5000000000000001E-2</v>
      </c>
      <c r="H106" s="236">
        <v>10</v>
      </c>
      <c r="I106" s="239">
        <v>2.5000000000000001E-3</v>
      </c>
      <c r="J106" s="235">
        <v>0.05</v>
      </c>
      <c r="K106" s="236" t="s">
        <v>46</v>
      </c>
      <c r="L106" s="237" t="s">
        <v>52</v>
      </c>
    </row>
    <row r="107" spans="1:12">
      <c r="A107" s="232">
        <v>2303</v>
      </c>
      <c r="B107" s="233" t="s">
        <v>127</v>
      </c>
      <c r="C107" s="234" t="s">
        <v>130</v>
      </c>
      <c r="D107" s="235">
        <v>1.91</v>
      </c>
      <c r="E107" s="236">
        <v>1000</v>
      </c>
      <c r="F107" s="237">
        <v>1.91E-3</v>
      </c>
      <c r="G107" s="238">
        <v>1</v>
      </c>
      <c r="H107" s="236">
        <v>10</v>
      </c>
      <c r="I107" s="239">
        <v>0.1</v>
      </c>
      <c r="J107" s="235">
        <v>0.05</v>
      </c>
      <c r="K107" s="236" t="s">
        <v>46</v>
      </c>
      <c r="L107" s="237" t="s">
        <v>50</v>
      </c>
    </row>
    <row r="108" spans="1:12" ht="13.5" thickBot="1">
      <c r="A108" s="244">
        <v>2304</v>
      </c>
      <c r="B108" s="245" t="s">
        <v>127</v>
      </c>
      <c r="C108" s="246" t="s">
        <v>131</v>
      </c>
      <c r="D108" s="270"/>
      <c r="E108" s="264"/>
      <c r="F108" s="271"/>
      <c r="G108" s="250">
        <v>0.69</v>
      </c>
      <c r="H108" s="248">
        <v>50</v>
      </c>
      <c r="I108" s="251">
        <v>1.38E-2</v>
      </c>
      <c r="J108" s="247">
        <v>0.05</v>
      </c>
      <c r="K108" s="248" t="s">
        <v>46</v>
      </c>
      <c r="L108" s="249" t="s">
        <v>50</v>
      </c>
    </row>
    <row r="109" spans="1:12">
      <c r="A109" s="224">
        <v>2401</v>
      </c>
      <c r="B109" s="225" t="s">
        <v>132</v>
      </c>
      <c r="C109" s="226" t="s">
        <v>133</v>
      </c>
      <c r="D109" s="227">
        <v>0.11</v>
      </c>
      <c r="E109" s="228">
        <v>1000</v>
      </c>
      <c r="F109" s="229">
        <v>1.1E-4</v>
      </c>
      <c r="G109" s="230">
        <v>0.04</v>
      </c>
      <c r="H109" s="228">
        <v>10</v>
      </c>
      <c r="I109" s="231">
        <v>4.0000000000000001E-3</v>
      </c>
      <c r="J109" s="227">
        <v>0.5</v>
      </c>
      <c r="K109" s="228" t="s">
        <v>65</v>
      </c>
      <c r="L109" s="229" t="s">
        <v>47</v>
      </c>
    </row>
    <row r="110" spans="1:12">
      <c r="A110" s="232">
        <v>2402</v>
      </c>
      <c r="B110" s="233" t="s">
        <v>132</v>
      </c>
      <c r="C110" s="234" t="s">
        <v>555</v>
      </c>
      <c r="D110" s="235">
        <v>295</v>
      </c>
      <c r="E110" s="236">
        <v>1000</v>
      </c>
      <c r="F110" s="237">
        <v>0.29499999999999998</v>
      </c>
      <c r="G110" s="238">
        <v>51</v>
      </c>
      <c r="H110" s="236">
        <v>50</v>
      </c>
      <c r="I110" s="239">
        <v>1.02</v>
      </c>
      <c r="J110" s="235">
        <v>0.05</v>
      </c>
      <c r="K110" s="236" t="s">
        <v>46</v>
      </c>
      <c r="L110" s="237" t="s">
        <v>50</v>
      </c>
    </row>
    <row r="111" spans="1:12">
      <c r="A111" s="232">
        <v>2403</v>
      </c>
      <c r="B111" s="233" t="s">
        <v>132</v>
      </c>
      <c r="C111" s="234" t="s">
        <v>134</v>
      </c>
      <c r="D111" s="235">
        <v>0.4</v>
      </c>
      <c r="E111" s="236">
        <v>5000</v>
      </c>
      <c r="F111" s="237">
        <v>8.0000000000000007E-5</v>
      </c>
      <c r="G111" s="240"/>
      <c r="H111" s="241"/>
      <c r="I111" s="239">
        <v>8.0000000000000007E-5</v>
      </c>
      <c r="J111" s="235">
        <v>1</v>
      </c>
      <c r="K111" s="236" t="s">
        <v>135</v>
      </c>
      <c r="L111" s="237" t="s">
        <v>52</v>
      </c>
    </row>
    <row r="112" spans="1:12">
      <c r="A112" s="232">
        <v>2404</v>
      </c>
      <c r="B112" s="233" t="s">
        <v>132</v>
      </c>
      <c r="C112" s="234" t="s">
        <v>136</v>
      </c>
      <c r="D112" s="235">
        <v>0.78</v>
      </c>
      <c r="E112" s="236">
        <v>1000</v>
      </c>
      <c r="F112" s="237">
        <v>7.7999999999999999E-4</v>
      </c>
      <c r="G112" s="238">
        <v>0.1</v>
      </c>
      <c r="H112" s="236">
        <v>10</v>
      </c>
      <c r="I112" s="239">
        <v>0.01</v>
      </c>
      <c r="J112" s="235">
        <v>0.15</v>
      </c>
      <c r="K112" s="236" t="s">
        <v>46</v>
      </c>
      <c r="L112" s="237" t="s">
        <v>52</v>
      </c>
    </row>
    <row r="113" spans="1:12">
      <c r="A113" s="232">
        <v>2405</v>
      </c>
      <c r="B113" s="233" t="s">
        <v>132</v>
      </c>
      <c r="C113" s="234" t="s">
        <v>556</v>
      </c>
      <c r="D113" s="235">
        <v>4.8099999999999996</v>
      </c>
      <c r="E113" s="236">
        <v>1000</v>
      </c>
      <c r="F113" s="237">
        <v>4.7999999999999996E-3</v>
      </c>
      <c r="G113" s="240"/>
      <c r="H113" s="241"/>
      <c r="I113" s="239">
        <v>4.7999999999999996E-3</v>
      </c>
      <c r="J113" s="235">
        <v>0.05</v>
      </c>
      <c r="K113" s="236" t="s">
        <v>46</v>
      </c>
      <c r="L113" s="237" t="s">
        <v>52</v>
      </c>
    </row>
    <row r="114" spans="1:12">
      <c r="A114" s="232">
        <v>2406</v>
      </c>
      <c r="B114" s="233" t="s">
        <v>132</v>
      </c>
      <c r="C114" s="234" t="s">
        <v>557</v>
      </c>
      <c r="D114" s="235">
        <v>35</v>
      </c>
      <c r="E114" s="236">
        <v>5000</v>
      </c>
      <c r="F114" s="237">
        <v>7.0000000000000001E-3</v>
      </c>
      <c r="G114" s="240"/>
      <c r="H114" s="241"/>
      <c r="I114" s="239">
        <v>7.0000000000000001E-3</v>
      </c>
      <c r="J114" s="235">
        <v>1</v>
      </c>
      <c r="K114" s="236" t="s">
        <v>135</v>
      </c>
      <c r="L114" s="237" t="s">
        <v>52</v>
      </c>
    </row>
    <row r="115" spans="1:12">
      <c r="A115" s="232">
        <v>2407</v>
      </c>
      <c r="B115" s="233" t="s">
        <v>132</v>
      </c>
      <c r="C115" s="234" t="s">
        <v>558</v>
      </c>
      <c r="D115" s="235">
        <v>2</v>
      </c>
      <c r="E115" s="236">
        <v>1000</v>
      </c>
      <c r="F115" s="237">
        <v>2E-3</v>
      </c>
      <c r="G115" s="240"/>
      <c r="H115" s="241"/>
      <c r="I115" s="239">
        <v>2E-3</v>
      </c>
      <c r="J115" s="235">
        <v>0.05</v>
      </c>
      <c r="K115" s="236" t="s">
        <v>46</v>
      </c>
      <c r="L115" s="237" t="s">
        <v>52</v>
      </c>
    </row>
    <row r="116" spans="1:12">
      <c r="A116" s="232">
        <v>2408</v>
      </c>
      <c r="B116" s="233" t="s">
        <v>132</v>
      </c>
      <c r="C116" s="234" t="s">
        <v>559</v>
      </c>
      <c r="D116" s="235">
        <v>0.375</v>
      </c>
      <c r="E116" s="236">
        <v>1000</v>
      </c>
      <c r="F116" s="237">
        <v>3.7500000000000001E-4</v>
      </c>
      <c r="G116" s="238">
        <v>2.23E-2</v>
      </c>
      <c r="H116" s="236">
        <v>10</v>
      </c>
      <c r="I116" s="239">
        <v>2.2300000000000002E-3</v>
      </c>
      <c r="J116" s="235">
        <v>0.05</v>
      </c>
      <c r="K116" s="236" t="s">
        <v>46</v>
      </c>
      <c r="L116" s="237" t="s">
        <v>52</v>
      </c>
    </row>
    <row r="117" spans="1:12">
      <c r="A117" s="232">
        <v>2410</v>
      </c>
      <c r="B117" s="233" t="s">
        <v>132</v>
      </c>
      <c r="C117" s="234" t="s">
        <v>137</v>
      </c>
      <c r="D117" s="235">
        <v>4.8000000000000001E-2</v>
      </c>
      <c r="E117" s="236">
        <v>1000</v>
      </c>
      <c r="F117" s="237">
        <v>4.8000000000000001E-5</v>
      </c>
      <c r="G117" s="238">
        <v>1.1999999999999999E-3</v>
      </c>
      <c r="H117" s="236">
        <v>10</v>
      </c>
      <c r="I117" s="239">
        <v>1.1999999999999999E-4</v>
      </c>
      <c r="J117" s="235">
        <v>0.5</v>
      </c>
      <c r="K117" s="236" t="s">
        <v>65</v>
      </c>
      <c r="L117" s="237" t="s">
        <v>52</v>
      </c>
    </row>
    <row r="118" spans="1:12">
      <c r="A118" s="232">
        <v>2411</v>
      </c>
      <c r="B118" s="233" t="s">
        <v>132</v>
      </c>
      <c r="C118" s="234" t="s">
        <v>138</v>
      </c>
      <c r="D118" s="235">
        <v>0.16</v>
      </c>
      <c r="E118" s="236">
        <v>1000</v>
      </c>
      <c r="F118" s="237">
        <v>1.6000000000000001E-4</v>
      </c>
      <c r="G118" s="238">
        <v>0.03</v>
      </c>
      <c r="H118" s="236">
        <v>10</v>
      </c>
      <c r="I118" s="239">
        <v>3.0000000000000001E-3</v>
      </c>
      <c r="J118" s="235">
        <v>0.5</v>
      </c>
      <c r="K118" s="236" t="s">
        <v>65</v>
      </c>
      <c r="L118" s="237" t="s">
        <v>52</v>
      </c>
    </row>
    <row r="119" spans="1:12">
      <c r="A119" s="232">
        <v>2412</v>
      </c>
      <c r="B119" s="233" t="s">
        <v>132</v>
      </c>
      <c r="C119" s="234" t="s">
        <v>139</v>
      </c>
      <c r="D119" s="235">
        <v>0.15</v>
      </c>
      <c r="E119" s="236">
        <v>1000</v>
      </c>
      <c r="F119" s="237">
        <v>1.4999999999999999E-4</v>
      </c>
      <c r="G119" s="240"/>
      <c r="H119" s="241"/>
      <c r="I119" s="239">
        <v>1.4999999999999999E-4</v>
      </c>
      <c r="J119" s="235">
        <v>0.05</v>
      </c>
      <c r="K119" s="236" t="s">
        <v>46</v>
      </c>
      <c r="L119" s="237" t="s">
        <v>52</v>
      </c>
    </row>
    <row r="120" spans="1:12">
      <c r="A120" s="232">
        <v>2413</v>
      </c>
      <c r="B120" s="233" t="s">
        <v>132</v>
      </c>
      <c r="C120" s="234" t="s">
        <v>140</v>
      </c>
      <c r="D120" s="235">
        <v>15.4</v>
      </c>
      <c r="E120" s="236">
        <v>5000</v>
      </c>
      <c r="F120" s="237">
        <v>3.0800000000000003E-3</v>
      </c>
      <c r="G120" s="240"/>
      <c r="H120" s="241"/>
      <c r="I120" s="239">
        <v>3.0800000000000003E-3</v>
      </c>
      <c r="J120" s="235">
        <v>0.05</v>
      </c>
      <c r="K120" s="236" t="s">
        <v>46</v>
      </c>
      <c r="L120" s="237" t="s">
        <v>47</v>
      </c>
    </row>
    <row r="121" spans="1:12">
      <c r="A121" s="232">
        <v>2414</v>
      </c>
      <c r="B121" s="233" t="s">
        <v>132</v>
      </c>
      <c r="C121" s="234" t="s">
        <v>560</v>
      </c>
      <c r="D121" s="235">
        <v>1.1000000000000001</v>
      </c>
      <c r="E121" s="236">
        <v>1000</v>
      </c>
      <c r="F121" s="237">
        <v>1.1000000000000001E-3</v>
      </c>
      <c r="G121" s="238">
        <v>8.9999999999999993E-3</v>
      </c>
      <c r="H121" s="236">
        <v>10</v>
      </c>
      <c r="I121" s="239">
        <v>8.9999999999999998E-4</v>
      </c>
      <c r="J121" s="235">
        <v>0.05</v>
      </c>
      <c r="K121" s="236" t="s">
        <v>46</v>
      </c>
      <c r="L121" s="237" t="s">
        <v>52</v>
      </c>
    </row>
    <row r="122" spans="1:12">
      <c r="A122" s="232">
        <v>2415</v>
      </c>
      <c r="B122" s="233" t="s">
        <v>132</v>
      </c>
      <c r="C122" s="234" t="s">
        <v>561</v>
      </c>
      <c r="D122" s="235">
        <v>24.8</v>
      </c>
      <c r="E122" s="236">
        <v>1000</v>
      </c>
      <c r="F122" s="237">
        <v>2.4799999999999999E-2</v>
      </c>
      <c r="G122" s="238">
        <v>0.09</v>
      </c>
      <c r="H122" s="236">
        <v>50</v>
      </c>
      <c r="I122" s="239">
        <v>1.8E-3</v>
      </c>
      <c r="J122" s="235">
        <v>0.05</v>
      </c>
      <c r="K122" s="236" t="s">
        <v>46</v>
      </c>
      <c r="L122" s="237" t="s">
        <v>50</v>
      </c>
    </row>
    <row r="123" spans="1:12">
      <c r="A123" s="232">
        <v>2416</v>
      </c>
      <c r="B123" s="233" t="s">
        <v>132</v>
      </c>
      <c r="C123" s="234" t="s">
        <v>141</v>
      </c>
      <c r="D123" s="235">
        <v>36.5</v>
      </c>
      <c r="E123" s="236">
        <v>5000</v>
      </c>
      <c r="F123" s="237">
        <v>7.3000000000000001E-3</v>
      </c>
      <c r="G123" s="240"/>
      <c r="H123" s="241"/>
      <c r="I123" s="239">
        <v>7.3000000000000001E-3</v>
      </c>
      <c r="J123" s="235">
        <v>1</v>
      </c>
      <c r="K123" s="236" t="s">
        <v>52</v>
      </c>
      <c r="L123" s="237" t="s">
        <v>52</v>
      </c>
    </row>
    <row r="124" spans="1:12">
      <c r="A124" s="232">
        <v>2418</v>
      </c>
      <c r="B124" s="233" t="s">
        <v>132</v>
      </c>
      <c r="C124" s="234" t="s">
        <v>562</v>
      </c>
      <c r="D124" s="235">
        <v>1.4E-3</v>
      </c>
      <c r="E124" s="236">
        <v>1000</v>
      </c>
      <c r="F124" s="253">
        <v>1.3999999999999999E-6</v>
      </c>
      <c r="G124" s="238">
        <v>6.8999999999999997E-4</v>
      </c>
      <c r="H124" s="236">
        <v>10</v>
      </c>
      <c r="I124" s="239">
        <v>6.8999999999999997E-5</v>
      </c>
      <c r="J124" s="235">
        <v>0.5</v>
      </c>
      <c r="K124" s="236" t="s">
        <v>65</v>
      </c>
      <c r="L124" s="237" t="s">
        <v>52</v>
      </c>
    </row>
    <row r="125" spans="1:12">
      <c r="A125" s="232">
        <v>2419</v>
      </c>
      <c r="B125" s="233" t="s">
        <v>132</v>
      </c>
      <c r="C125" s="234" t="s">
        <v>142</v>
      </c>
      <c r="D125" s="235">
        <v>291</v>
      </c>
      <c r="E125" s="236">
        <v>1000</v>
      </c>
      <c r="F125" s="237">
        <v>0.29099999999999998</v>
      </c>
      <c r="G125" s="238">
        <v>9.43</v>
      </c>
      <c r="H125" s="236">
        <v>10</v>
      </c>
      <c r="I125" s="239">
        <v>0.94299999999999995</v>
      </c>
      <c r="J125" s="235">
        <v>0.05</v>
      </c>
      <c r="K125" s="236" t="s">
        <v>46</v>
      </c>
      <c r="L125" s="237" t="s">
        <v>52</v>
      </c>
    </row>
    <row r="126" spans="1:12">
      <c r="A126" s="232">
        <v>2420</v>
      </c>
      <c r="B126" s="233" t="s">
        <v>132</v>
      </c>
      <c r="C126" s="234" t="s">
        <v>143</v>
      </c>
      <c r="D126" s="235">
        <v>24.1</v>
      </c>
      <c r="E126" s="236">
        <v>1000</v>
      </c>
      <c r="F126" s="237">
        <v>2.41E-2</v>
      </c>
      <c r="G126" s="240"/>
      <c r="H126" s="241"/>
      <c r="I126" s="239">
        <v>2.41E-2</v>
      </c>
      <c r="J126" s="235">
        <v>0.05</v>
      </c>
      <c r="K126" s="236" t="s">
        <v>46</v>
      </c>
      <c r="L126" s="237" t="s">
        <v>52</v>
      </c>
    </row>
    <row r="127" spans="1:12">
      <c r="A127" s="232">
        <v>2421</v>
      </c>
      <c r="B127" s="233" t="s">
        <v>132</v>
      </c>
      <c r="C127" s="234" t="s">
        <v>144</v>
      </c>
      <c r="D127" s="235">
        <v>2.7E-2</v>
      </c>
      <c r="E127" s="236">
        <v>1000</v>
      </c>
      <c r="F127" s="237">
        <v>2.6999999999999999E-5</v>
      </c>
      <c r="G127" s="238">
        <v>8.5000000000000006E-3</v>
      </c>
      <c r="H127" s="236">
        <v>50</v>
      </c>
      <c r="I127" s="239">
        <v>1.7000000000000001E-4</v>
      </c>
      <c r="J127" s="235">
        <v>0.05</v>
      </c>
      <c r="K127" s="236" t="s">
        <v>46</v>
      </c>
      <c r="L127" s="237" t="s">
        <v>52</v>
      </c>
    </row>
    <row r="128" spans="1:12">
      <c r="A128" s="254">
        <v>2422</v>
      </c>
      <c r="B128" s="255" t="s">
        <v>132</v>
      </c>
      <c r="C128" s="256" t="s">
        <v>145</v>
      </c>
      <c r="D128" s="257">
        <v>100</v>
      </c>
      <c r="E128" s="258">
        <v>1000</v>
      </c>
      <c r="F128" s="259">
        <v>0.1</v>
      </c>
      <c r="G128" s="268"/>
      <c r="H128" s="258"/>
      <c r="I128" s="262">
        <v>0.1</v>
      </c>
      <c r="J128" s="257">
        <v>0.05</v>
      </c>
      <c r="K128" s="258" t="s">
        <v>46</v>
      </c>
      <c r="L128" s="259" t="s">
        <v>52</v>
      </c>
    </row>
    <row r="129" spans="1:12" ht="13.5" thickBot="1">
      <c r="A129" s="244">
        <v>2423</v>
      </c>
      <c r="B129" s="245" t="s">
        <v>132</v>
      </c>
      <c r="C129" s="246" t="s">
        <v>485</v>
      </c>
      <c r="D129" s="247">
        <v>32.1</v>
      </c>
      <c r="E129" s="248">
        <v>5000</v>
      </c>
      <c r="F129" s="249">
        <v>6.4200000000000004E-3</v>
      </c>
      <c r="G129" s="263"/>
      <c r="H129" s="264"/>
      <c r="I129" s="251">
        <v>6.4200000000000004E-3</v>
      </c>
      <c r="J129" s="247">
        <v>0.15</v>
      </c>
      <c r="K129" s="248" t="s">
        <v>46</v>
      </c>
      <c r="L129" s="249" t="s">
        <v>52</v>
      </c>
    </row>
    <row r="130" spans="1:12">
      <c r="A130" s="224">
        <v>2502</v>
      </c>
      <c r="B130" s="225" t="s">
        <v>146</v>
      </c>
      <c r="C130" s="226" t="s">
        <v>563</v>
      </c>
      <c r="D130" s="227">
        <v>100</v>
      </c>
      <c r="E130" s="228">
        <v>1000</v>
      </c>
      <c r="F130" s="229">
        <v>0.1</v>
      </c>
      <c r="G130" s="230">
        <v>100</v>
      </c>
      <c r="H130" s="228">
        <v>10</v>
      </c>
      <c r="I130" s="231">
        <v>10</v>
      </c>
      <c r="J130" s="227">
        <v>1</v>
      </c>
      <c r="K130" s="228" t="s">
        <v>135</v>
      </c>
      <c r="L130" s="229" t="s">
        <v>52</v>
      </c>
    </row>
    <row r="131" spans="1:12">
      <c r="A131" s="232">
        <v>2503</v>
      </c>
      <c r="B131" s="233" t="s">
        <v>146</v>
      </c>
      <c r="C131" s="234" t="s">
        <v>564</v>
      </c>
      <c r="D131" s="235">
        <v>885</v>
      </c>
      <c r="E131" s="236">
        <v>5000</v>
      </c>
      <c r="F131" s="237">
        <v>0.17699999999999999</v>
      </c>
      <c r="G131" s="240"/>
      <c r="H131" s="241"/>
      <c r="I131" s="239">
        <v>0.17699999999999999</v>
      </c>
      <c r="J131" s="235">
        <v>0.05</v>
      </c>
      <c r="K131" s="236" t="s">
        <v>46</v>
      </c>
      <c r="L131" s="237" t="s">
        <v>50</v>
      </c>
    </row>
    <row r="132" spans="1:12">
      <c r="A132" s="232">
        <v>2504</v>
      </c>
      <c r="B132" s="233" t="s">
        <v>146</v>
      </c>
      <c r="C132" s="234" t="s">
        <v>565</v>
      </c>
      <c r="D132" s="235">
        <v>160</v>
      </c>
      <c r="E132" s="236">
        <v>1000</v>
      </c>
      <c r="F132" s="237">
        <v>0.16</v>
      </c>
      <c r="G132" s="240"/>
      <c r="H132" s="241"/>
      <c r="I132" s="239">
        <v>0.16</v>
      </c>
      <c r="J132" s="235">
        <v>0.05</v>
      </c>
      <c r="K132" s="236" t="s">
        <v>147</v>
      </c>
      <c r="L132" s="237" t="s">
        <v>147</v>
      </c>
    </row>
    <row r="133" spans="1:12">
      <c r="A133" s="232">
        <v>2505</v>
      </c>
      <c r="B133" s="233" t="s">
        <v>146</v>
      </c>
      <c r="C133" s="234" t="s">
        <v>566</v>
      </c>
      <c r="D133" s="235">
        <v>100</v>
      </c>
      <c r="E133" s="236">
        <v>1000</v>
      </c>
      <c r="F133" s="237">
        <v>0.1</v>
      </c>
      <c r="G133" s="240">
        <v>100</v>
      </c>
      <c r="H133" s="241">
        <v>50</v>
      </c>
      <c r="I133" s="239">
        <v>2</v>
      </c>
      <c r="J133" s="235">
        <v>1</v>
      </c>
      <c r="K133" s="236" t="s">
        <v>147</v>
      </c>
      <c r="L133" s="237" t="s">
        <v>147</v>
      </c>
    </row>
    <row r="134" spans="1:12">
      <c r="A134" s="232">
        <v>2506</v>
      </c>
      <c r="B134" s="233" t="s">
        <v>146</v>
      </c>
      <c r="C134" s="234" t="s">
        <v>567</v>
      </c>
      <c r="D134" s="235">
        <v>825</v>
      </c>
      <c r="E134" s="236">
        <v>1000</v>
      </c>
      <c r="F134" s="237">
        <v>0.82499999999999996</v>
      </c>
      <c r="G134" s="238">
        <v>80</v>
      </c>
      <c r="H134" s="236">
        <v>50</v>
      </c>
      <c r="I134" s="239">
        <v>1.6</v>
      </c>
      <c r="J134" s="235">
        <v>0.05</v>
      </c>
      <c r="K134" s="236" t="s">
        <v>46</v>
      </c>
      <c r="L134" s="237" t="s">
        <v>50</v>
      </c>
    </row>
    <row r="135" spans="1:12">
      <c r="A135" s="232">
        <v>2507</v>
      </c>
      <c r="B135" s="233" t="s">
        <v>146</v>
      </c>
      <c r="C135" s="234" t="s">
        <v>568</v>
      </c>
      <c r="D135" s="235">
        <v>40</v>
      </c>
      <c r="E135" s="236">
        <v>1000</v>
      </c>
      <c r="F135" s="237">
        <v>0.04</v>
      </c>
      <c r="G135" s="238">
        <v>12</v>
      </c>
      <c r="H135" s="236">
        <v>10</v>
      </c>
      <c r="I135" s="239">
        <v>1.2</v>
      </c>
      <c r="J135" s="235">
        <v>1</v>
      </c>
      <c r="K135" s="236" t="s">
        <v>135</v>
      </c>
      <c r="L135" s="237" t="s">
        <v>47</v>
      </c>
    </row>
    <row r="136" spans="1:12">
      <c r="A136" s="232">
        <v>2508</v>
      </c>
      <c r="B136" s="233" t="s">
        <v>146</v>
      </c>
      <c r="C136" s="234" t="s">
        <v>569</v>
      </c>
      <c r="D136" s="235">
        <v>100</v>
      </c>
      <c r="E136" s="236">
        <v>1000</v>
      </c>
      <c r="F136" s="237">
        <v>0.1</v>
      </c>
      <c r="G136" s="238">
        <v>5.8</v>
      </c>
      <c r="H136" s="236">
        <v>10</v>
      </c>
      <c r="I136" s="239">
        <v>0.57999999999999996</v>
      </c>
      <c r="J136" s="235">
        <v>1</v>
      </c>
      <c r="K136" s="236" t="s">
        <v>135</v>
      </c>
      <c r="L136" s="237" t="s">
        <v>47</v>
      </c>
    </row>
    <row r="137" spans="1:12">
      <c r="A137" s="232">
        <v>2509</v>
      </c>
      <c r="B137" s="233" t="s">
        <v>146</v>
      </c>
      <c r="C137" s="234" t="s">
        <v>148</v>
      </c>
      <c r="D137" s="235">
        <v>494</v>
      </c>
      <c r="E137" s="236">
        <v>1000</v>
      </c>
      <c r="F137" s="237">
        <v>0.49399999999999999</v>
      </c>
      <c r="G137" s="238">
        <v>64</v>
      </c>
      <c r="H137" s="236">
        <v>50</v>
      </c>
      <c r="I137" s="239">
        <v>1.28</v>
      </c>
      <c r="J137" s="235">
        <v>0.05</v>
      </c>
      <c r="K137" s="236" t="s">
        <v>46</v>
      </c>
      <c r="L137" s="237" t="s">
        <v>47</v>
      </c>
    </row>
    <row r="138" spans="1:12">
      <c r="A138" s="232">
        <v>2510</v>
      </c>
      <c r="B138" s="233" t="s">
        <v>146</v>
      </c>
      <c r="C138" s="234" t="s">
        <v>149</v>
      </c>
      <c r="D138" s="235">
        <v>100</v>
      </c>
      <c r="E138" s="236">
        <v>1000</v>
      </c>
      <c r="F138" s="237">
        <v>0.1</v>
      </c>
      <c r="G138" s="238">
        <v>100</v>
      </c>
      <c r="H138" s="236">
        <v>10</v>
      </c>
      <c r="I138" s="239">
        <v>10</v>
      </c>
      <c r="J138" s="235">
        <v>0.05</v>
      </c>
      <c r="K138" s="236" t="s">
        <v>46</v>
      </c>
      <c r="L138" s="237" t="s">
        <v>50</v>
      </c>
    </row>
    <row r="139" spans="1:12">
      <c r="A139" s="232">
        <v>2511</v>
      </c>
      <c r="B139" s="233" t="s">
        <v>146</v>
      </c>
      <c r="C139" s="234" t="s">
        <v>570</v>
      </c>
      <c r="D139" s="235">
        <v>121</v>
      </c>
      <c r="E139" s="236">
        <v>1000</v>
      </c>
      <c r="F139" s="237">
        <v>0.121</v>
      </c>
      <c r="G139" s="238">
        <v>22</v>
      </c>
      <c r="H139" s="236">
        <v>50</v>
      </c>
      <c r="I139" s="239">
        <v>0.44</v>
      </c>
      <c r="J139" s="235">
        <v>0.5</v>
      </c>
      <c r="K139" s="236" t="s">
        <v>65</v>
      </c>
      <c r="L139" s="237" t="s">
        <v>47</v>
      </c>
    </row>
    <row r="140" spans="1:12">
      <c r="A140" s="232">
        <v>2512</v>
      </c>
      <c r="B140" s="233" t="s">
        <v>146</v>
      </c>
      <c r="C140" s="234" t="s">
        <v>571</v>
      </c>
      <c r="D140" s="235">
        <v>650</v>
      </c>
      <c r="E140" s="236">
        <v>1000</v>
      </c>
      <c r="F140" s="237">
        <v>0.65</v>
      </c>
      <c r="G140" s="238">
        <v>25</v>
      </c>
      <c r="H140" s="236">
        <v>50</v>
      </c>
      <c r="I140" s="239">
        <v>0.5</v>
      </c>
      <c r="J140" s="235">
        <v>1</v>
      </c>
      <c r="K140" s="236" t="s">
        <v>135</v>
      </c>
      <c r="L140" s="237" t="s">
        <v>47</v>
      </c>
    </row>
    <row r="141" spans="1:12">
      <c r="A141" s="232">
        <v>2513</v>
      </c>
      <c r="B141" s="233" t="s">
        <v>146</v>
      </c>
      <c r="C141" s="234" t="s">
        <v>572</v>
      </c>
      <c r="D141" s="235">
        <v>5.5</v>
      </c>
      <c r="E141" s="236">
        <v>1000</v>
      </c>
      <c r="F141" s="237">
        <v>5.4999999999999997E-3</v>
      </c>
      <c r="G141" s="238">
        <v>0.66</v>
      </c>
      <c r="H141" s="236">
        <v>10</v>
      </c>
      <c r="I141" s="239">
        <v>6.6000000000000003E-2</v>
      </c>
      <c r="J141" s="235">
        <v>0.05</v>
      </c>
      <c r="K141" s="236" t="s">
        <v>46</v>
      </c>
      <c r="L141" s="237" t="s">
        <v>47</v>
      </c>
    </row>
    <row r="142" spans="1:12">
      <c r="A142" s="232">
        <v>2514</v>
      </c>
      <c r="B142" s="233" t="s">
        <v>146</v>
      </c>
      <c r="C142" s="234" t="s">
        <v>150</v>
      </c>
      <c r="D142" s="235">
        <v>1000</v>
      </c>
      <c r="E142" s="236">
        <v>1000</v>
      </c>
      <c r="F142" s="237">
        <v>1</v>
      </c>
      <c r="G142" s="238">
        <v>423</v>
      </c>
      <c r="H142" s="236">
        <v>10</v>
      </c>
      <c r="I142" s="239">
        <v>42.3</v>
      </c>
      <c r="J142" s="235">
        <v>0.5</v>
      </c>
      <c r="K142" s="236" t="s">
        <v>65</v>
      </c>
      <c r="L142" s="237" t="s">
        <v>47</v>
      </c>
    </row>
    <row r="143" spans="1:12">
      <c r="A143" s="232">
        <v>2515</v>
      </c>
      <c r="B143" s="233" t="s">
        <v>146</v>
      </c>
      <c r="C143" s="234" t="s">
        <v>573</v>
      </c>
      <c r="D143" s="235"/>
      <c r="E143" s="236"/>
      <c r="F143" s="237">
        <v>10</v>
      </c>
      <c r="G143" s="238"/>
      <c r="H143" s="236"/>
      <c r="I143" s="239">
        <v>10</v>
      </c>
      <c r="J143" s="235">
        <v>1</v>
      </c>
      <c r="K143" s="236" t="s">
        <v>147</v>
      </c>
      <c r="L143" s="237" t="s">
        <v>147</v>
      </c>
    </row>
    <row r="144" spans="1:12">
      <c r="A144" s="232">
        <v>2516</v>
      </c>
      <c r="B144" s="233" t="s">
        <v>146</v>
      </c>
      <c r="C144" s="234" t="s">
        <v>574</v>
      </c>
      <c r="D144" s="235"/>
      <c r="E144" s="236"/>
      <c r="F144" s="237">
        <v>10</v>
      </c>
      <c r="G144" s="238"/>
      <c r="H144" s="236"/>
      <c r="I144" s="239">
        <v>10</v>
      </c>
      <c r="J144" s="235">
        <v>0.05</v>
      </c>
      <c r="K144" s="236" t="s">
        <v>147</v>
      </c>
      <c r="L144" s="237" t="s">
        <v>147</v>
      </c>
    </row>
    <row r="145" spans="1:12">
      <c r="A145" s="232">
        <v>2517</v>
      </c>
      <c r="B145" s="233" t="s">
        <v>146</v>
      </c>
      <c r="C145" s="234" t="s">
        <v>151</v>
      </c>
      <c r="D145" s="252">
        <v>100</v>
      </c>
      <c r="E145" s="241">
        <v>1000</v>
      </c>
      <c r="F145" s="237">
        <v>0.1</v>
      </c>
      <c r="G145" s="240"/>
      <c r="H145" s="241"/>
      <c r="I145" s="239">
        <v>0.1</v>
      </c>
      <c r="J145" s="235">
        <v>0.05</v>
      </c>
      <c r="K145" s="236" t="s">
        <v>46</v>
      </c>
      <c r="L145" s="237" t="s">
        <v>50</v>
      </c>
    </row>
    <row r="146" spans="1:12">
      <c r="A146" s="232">
        <v>2519</v>
      </c>
      <c r="B146" s="233" t="s">
        <v>146</v>
      </c>
      <c r="C146" s="234" t="s">
        <v>152</v>
      </c>
      <c r="D146" s="252">
        <v>3.6</v>
      </c>
      <c r="E146" s="241">
        <v>1000</v>
      </c>
      <c r="F146" s="237">
        <v>3.5999999999999999E-3</v>
      </c>
      <c r="G146" s="240">
        <v>0.47</v>
      </c>
      <c r="H146" s="241">
        <v>10</v>
      </c>
      <c r="I146" s="239">
        <v>4.7E-2</v>
      </c>
      <c r="J146" s="235">
        <v>0.05</v>
      </c>
      <c r="K146" s="236" t="s">
        <v>46</v>
      </c>
      <c r="L146" s="237" t="s">
        <v>50</v>
      </c>
    </row>
    <row r="147" spans="1:12" ht="25.5">
      <c r="A147" s="232">
        <v>2520</v>
      </c>
      <c r="B147" s="233" t="s">
        <v>146</v>
      </c>
      <c r="C147" s="234" t="s">
        <v>575</v>
      </c>
      <c r="D147" s="235">
        <v>100</v>
      </c>
      <c r="E147" s="236">
        <v>1000</v>
      </c>
      <c r="F147" s="237">
        <v>0.1</v>
      </c>
      <c r="G147" s="240">
        <v>100</v>
      </c>
      <c r="H147" s="241">
        <v>50</v>
      </c>
      <c r="I147" s="239">
        <v>2</v>
      </c>
      <c r="J147" s="235">
        <v>0.05</v>
      </c>
      <c r="K147" s="236" t="s">
        <v>46</v>
      </c>
      <c r="L147" s="237" t="s">
        <v>50</v>
      </c>
    </row>
    <row r="148" spans="1:12">
      <c r="A148" s="232">
        <v>2521</v>
      </c>
      <c r="B148" s="233" t="s">
        <v>146</v>
      </c>
      <c r="C148" s="234" t="s">
        <v>153</v>
      </c>
      <c r="D148" s="235">
        <v>21</v>
      </c>
      <c r="E148" s="236">
        <v>10000</v>
      </c>
      <c r="F148" s="237">
        <v>2.0999999999999999E-3</v>
      </c>
      <c r="G148" s="238"/>
      <c r="H148" s="236"/>
      <c r="I148" s="239">
        <v>2.0999999999999999E-3</v>
      </c>
      <c r="J148" s="235">
        <v>0.05</v>
      </c>
      <c r="K148" s="236" t="s">
        <v>46</v>
      </c>
      <c r="L148" s="237" t="s">
        <v>50</v>
      </c>
    </row>
    <row r="149" spans="1:12">
      <c r="A149" s="232">
        <v>2522</v>
      </c>
      <c r="B149" s="233" t="s">
        <v>146</v>
      </c>
      <c r="C149" s="234" t="s">
        <v>154</v>
      </c>
      <c r="D149" s="235">
        <v>100</v>
      </c>
      <c r="E149" s="236">
        <v>1000</v>
      </c>
      <c r="F149" s="237">
        <v>0.1</v>
      </c>
      <c r="G149" s="238"/>
      <c r="H149" s="236"/>
      <c r="I149" s="239">
        <v>0.1</v>
      </c>
      <c r="J149" s="235">
        <v>0.05</v>
      </c>
      <c r="K149" s="236" t="s">
        <v>46</v>
      </c>
      <c r="L149" s="237" t="s">
        <v>52</v>
      </c>
    </row>
    <row r="150" spans="1:12">
      <c r="A150" s="232">
        <v>2523</v>
      </c>
      <c r="B150" s="233" t="s">
        <v>146</v>
      </c>
      <c r="C150" s="234" t="s">
        <v>576</v>
      </c>
      <c r="D150" s="235">
        <v>207</v>
      </c>
      <c r="E150" s="236">
        <v>1000</v>
      </c>
      <c r="F150" s="237">
        <v>0.20699999999999999</v>
      </c>
      <c r="G150" s="240"/>
      <c r="H150" s="241"/>
      <c r="I150" s="239">
        <v>0.20699999999999999</v>
      </c>
      <c r="J150" s="235">
        <v>1</v>
      </c>
      <c r="K150" s="236" t="s">
        <v>147</v>
      </c>
      <c r="L150" s="237" t="s">
        <v>147</v>
      </c>
    </row>
    <row r="151" spans="1:12">
      <c r="A151" s="232">
        <v>2524</v>
      </c>
      <c r="B151" s="233" t="s">
        <v>146</v>
      </c>
      <c r="C151" s="234" t="s">
        <v>155</v>
      </c>
      <c r="D151" s="235">
        <v>410</v>
      </c>
      <c r="E151" s="236">
        <v>1000</v>
      </c>
      <c r="F151" s="237">
        <v>0.41</v>
      </c>
      <c r="G151" s="240"/>
      <c r="H151" s="241"/>
      <c r="I151" s="239">
        <v>0.41</v>
      </c>
      <c r="J151" s="235">
        <v>0.05</v>
      </c>
      <c r="K151" s="236" t="s">
        <v>46</v>
      </c>
      <c r="L151" s="237" t="s">
        <v>47</v>
      </c>
    </row>
    <row r="152" spans="1:12">
      <c r="A152" s="232">
        <v>2525</v>
      </c>
      <c r="B152" s="233" t="s">
        <v>146</v>
      </c>
      <c r="C152" s="234" t="s">
        <v>156</v>
      </c>
      <c r="D152" s="235">
        <v>14</v>
      </c>
      <c r="E152" s="236">
        <v>1000</v>
      </c>
      <c r="F152" s="237">
        <v>1.4E-2</v>
      </c>
      <c r="G152" s="240"/>
      <c r="H152" s="241"/>
      <c r="I152" s="239">
        <v>1.4E-2</v>
      </c>
      <c r="J152" s="235">
        <v>1</v>
      </c>
      <c r="K152" s="236" t="s">
        <v>147</v>
      </c>
      <c r="L152" s="237" t="s">
        <v>147</v>
      </c>
    </row>
    <row r="153" spans="1:12">
      <c r="A153" s="232">
        <v>2526</v>
      </c>
      <c r="B153" s="233" t="s">
        <v>146</v>
      </c>
      <c r="C153" s="234" t="s">
        <v>157</v>
      </c>
      <c r="D153" s="235">
        <v>4.9000000000000004</v>
      </c>
      <c r="E153" s="236">
        <v>1000</v>
      </c>
      <c r="F153" s="237">
        <v>4.9000000000000007E-3</v>
      </c>
      <c r="G153" s="240">
        <v>0.7</v>
      </c>
      <c r="H153" s="241">
        <v>50</v>
      </c>
      <c r="I153" s="239">
        <v>1.3999999999999999E-2</v>
      </c>
      <c r="J153" s="235">
        <v>0.01</v>
      </c>
      <c r="K153" s="236" t="s">
        <v>147</v>
      </c>
      <c r="L153" s="237" t="s">
        <v>147</v>
      </c>
    </row>
    <row r="154" spans="1:12">
      <c r="A154" s="232">
        <v>2527</v>
      </c>
      <c r="B154" s="233" t="s">
        <v>146</v>
      </c>
      <c r="C154" s="234" t="s">
        <v>158</v>
      </c>
      <c r="D154" s="235">
        <v>2.4</v>
      </c>
      <c r="E154" s="236">
        <v>1000</v>
      </c>
      <c r="F154" s="237">
        <v>2.3999999999999998E-3</v>
      </c>
      <c r="G154" s="240">
        <v>0.22</v>
      </c>
      <c r="H154" s="241">
        <v>50</v>
      </c>
      <c r="I154" s="239">
        <v>4.4000000000000003E-3</v>
      </c>
      <c r="J154" s="235">
        <v>0.01</v>
      </c>
      <c r="K154" s="236" t="s">
        <v>147</v>
      </c>
      <c r="L154" s="237" t="s">
        <v>147</v>
      </c>
    </row>
    <row r="155" spans="1:12">
      <c r="A155" s="232">
        <v>2528</v>
      </c>
      <c r="B155" s="233" t="s">
        <v>146</v>
      </c>
      <c r="C155" s="234" t="s">
        <v>159</v>
      </c>
      <c r="D155" s="235">
        <v>250</v>
      </c>
      <c r="E155" s="236">
        <v>1000</v>
      </c>
      <c r="F155" s="237">
        <v>0.25</v>
      </c>
      <c r="G155" s="238">
        <v>500</v>
      </c>
      <c r="H155" s="236">
        <v>50</v>
      </c>
      <c r="I155" s="239">
        <v>10</v>
      </c>
      <c r="J155" s="235">
        <v>0.05</v>
      </c>
      <c r="K155" s="236" t="s">
        <v>46</v>
      </c>
      <c r="L155" s="237" t="s">
        <v>50</v>
      </c>
    </row>
    <row r="156" spans="1:12">
      <c r="A156" s="232">
        <v>2529</v>
      </c>
      <c r="B156" s="233" t="s">
        <v>146</v>
      </c>
      <c r="C156" s="234" t="s">
        <v>577</v>
      </c>
      <c r="D156" s="235">
        <v>1000</v>
      </c>
      <c r="E156" s="236">
        <v>1000</v>
      </c>
      <c r="F156" s="237">
        <v>1</v>
      </c>
      <c r="G156" s="238"/>
      <c r="H156" s="236"/>
      <c r="I156" s="239">
        <v>1</v>
      </c>
      <c r="J156" s="235">
        <v>0.05</v>
      </c>
      <c r="K156" s="236" t="s">
        <v>46</v>
      </c>
      <c r="L156" s="237" t="s">
        <v>50</v>
      </c>
    </row>
    <row r="157" spans="1:12">
      <c r="A157" s="232">
        <v>2530</v>
      </c>
      <c r="B157" s="233" t="s">
        <v>146</v>
      </c>
      <c r="C157" s="234" t="s">
        <v>160</v>
      </c>
      <c r="D157" s="235">
        <v>100</v>
      </c>
      <c r="E157" s="236">
        <v>1000</v>
      </c>
      <c r="F157" s="237">
        <v>0.1</v>
      </c>
      <c r="G157" s="238">
        <v>100</v>
      </c>
      <c r="H157" s="236">
        <v>50</v>
      </c>
      <c r="I157" s="239">
        <v>2</v>
      </c>
      <c r="J157" s="235">
        <v>0.05</v>
      </c>
      <c r="K157" s="236" t="s">
        <v>46</v>
      </c>
      <c r="L157" s="237" t="s">
        <v>50</v>
      </c>
    </row>
    <row r="158" spans="1:12">
      <c r="A158" s="232">
        <v>2531</v>
      </c>
      <c r="B158" s="233" t="s">
        <v>146</v>
      </c>
      <c r="C158" s="234" t="s">
        <v>161</v>
      </c>
      <c r="D158" s="235">
        <v>90</v>
      </c>
      <c r="E158" s="236">
        <v>1000</v>
      </c>
      <c r="F158" s="237">
        <v>0.09</v>
      </c>
      <c r="G158" s="240">
        <v>0.78</v>
      </c>
      <c r="H158" s="241">
        <v>50</v>
      </c>
      <c r="I158" s="239">
        <v>1.5600000000000001E-2</v>
      </c>
      <c r="J158" s="235">
        <v>0.05</v>
      </c>
      <c r="K158" s="236" t="s">
        <v>46</v>
      </c>
      <c r="L158" s="237" t="s">
        <v>50</v>
      </c>
    </row>
    <row r="159" spans="1:12">
      <c r="A159" s="232">
        <v>2532</v>
      </c>
      <c r="B159" s="233" t="s">
        <v>146</v>
      </c>
      <c r="C159" s="234" t="s">
        <v>162</v>
      </c>
      <c r="D159" s="235">
        <v>1000</v>
      </c>
      <c r="E159" s="236">
        <v>1000</v>
      </c>
      <c r="F159" s="237">
        <v>1</v>
      </c>
      <c r="G159" s="238"/>
      <c r="H159" s="236"/>
      <c r="I159" s="239">
        <v>1</v>
      </c>
      <c r="J159" s="235">
        <v>0.5</v>
      </c>
      <c r="K159" s="236" t="s">
        <v>65</v>
      </c>
      <c r="L159" s="237" t="s">
        <v>47</v>
      </c>
    </row>
    <row r="160" spans="1:12">
      <c r="A160" s="232">
        <v>2533</v>
      </c>
      <c r="B160" s="233" t="s">
        <v>146</v>
      </c>
      <c r="C160" s="234" t="s">
        <v>163</v>
      </c>
      <c r="D160" s="235">
        <v>250</v>
      </c>
      <c r="E160" s="236">
        <v>5000</v>
      </c>
      <c r="F160" s="237">
        <v>0.05</v>
      </c>
      <c r="G160" s="238"/>
      <c r="H160" s="236"/>
      <c r="I160" s="239">
        <v>0.05</v>
      </c>
      <c r="J160" s="235">
        <v>0.5</v>
      </c>
      <c r="K160" s="236" t="s">
        <v>65</v>
      </c>
      <c r="L160" s="237" t="s">
        <v>47</v>
      </c>
    </row>
    <row r="161" spans="1:12">
      <c r="A161" s="232">
        <v>2534</v>
      </c>
      <c r="B161" s="233" t="s">
        <v>146</v>
      </c>
      <c r="C161" s="234" t="s">
        <v>578</v>
      </c>
      <c r="D161" s="235"/>
      <c r="E161" s="236"/>
      <c r="F161" s="237">
        <v>10</v>
      </c>
      <c r="G161" s="240"/>
      <c r="H161" s="241"/>
      <c r="I161" s="239">
        <v>10</v>
      </c>
      <c r="J161" s="235">
        <v>0.05</v>
      </c>
      <c r="K161" s="236" t="s">
        <v>147</v>
      </c>
      <c r="L161" s="237" t="s">
        <v>147</v>
      </c>
    </row>
    <row r="162" spans="1:12">
      <c r="A162" s="232">
        <v>2535</v>
      </c>
      <c r="B162" s="233" t="s">
        <v>146</v>
      </c>
      <c r="C162" s="234" t="s">
        <v>579</v>
      </c>
      <c r="D162" s="235"/>
      <c r="E162" s="236"/>
      <c r="F162" s="237">
        <v>10</v>
      </c>
      <c r="G162" s="240"/>
      <c r="H162" s="241"/>
      <c r="I162" s="239">
        <v>10</v>
      </c>
      <c r="J162" s="235">
        <v>1</v>
      </c>
      <c r="K162" s="236" t="s">
        <v>147</v>
      </c>
      <c r="L162" s="237" t="s">
        <v>147</v>
      </c>
    </row>
    <row r="163" spans="1:12">
      <c r="A163" s="232">
        <v>2536</v>
      </c>
      <c r="B163" s="233" t="s">
        <v>146</v>
      </c>
      <c r="C163" s="234" t="s">
        <v>580</v>
      </c>
      <c r="D163" s="252">
        <v>9100</v>
      </c>
      <c r="E163" s="241">
        <v>5000</v>
      </c>
      <c r="F163" s="237">
        <v>1.82</v>
      </c>
      <c r="G163" s="240"/>
      <c r="H163" s="241"/>
      <c r="I163" s="239">
        <v>1.82</v>
      </c>
      <c r="J163" s="235">
        <v>0.5</v>
      </c>
      <c r="K163" s="236" t="s">
        <v>65</v>
      </c>
      <c r="L163" s="237" t="s">
        <v>52</v>
      </c>
    </row>
    <row r="164" spans="1:12">
      <c r="A164" s="232">
        <v>2537</v>
      </c>
      <c r="B164" s="233" t="s">
        <v>146</v>
      </c>
      <c r="C164" s="234" t="s">
        <v>581</v>
      </c>
      <c r="D164" s="252"/>
      <c r="E164" s="241"/>
      <c r="F164" s="237">
        <v>10</v>
      </c>
      <c r="G164" s="240"/>
      <c r="H164" s="241"/>
      <c r="I164" s="239">
        <v>10</v>
      </c>
      <c r="J164" s="235">
        <v>1</v>
      </c>
      <c r="K164" s="236" t="s">
        <v>147</v>
      </c>
      <c r="L164" s="237" t="s">
        <v>147</v>
      </c>
    </row>
    <row r="165" spans="1:12">
      <c r="A165" s="232">
        <v>2538</v>
      </c>
      <c r="B165" s="233" t="s">
        <v>146</v>
      </c>
      <c r="C165" s="234" t="s">
        <v>164</v>
      </c>
      <c r="D165" s="235">
        <v>1000</v>
      </c>
      <c r="E165" s="236">
        <v>10000</v>
      </c>
      <c r="F165" s="237">
        <v>0.1</v>
      </c>
      <c r="G165" s="240"/>
      <c r="H165" s="241"/>
      <c r="I165" s="239">
        <v>0.1</v>
      </c>
      <c r="J165" s="235">
        <v>0.05</v>
      </c>
      <c r="K165" s="236" t="s">
        <v>46</v>
      </c>
      <c r="L165" s="237" t="s">
        <v>47</v>
      </c>
    </row>
    <row r="166" spans="1:12">
      <c r="A166" s="232">
        <v>2539</v>
      </c>
      <c r="B166" s="233" t="s">
        <v>146</v>
      </c>
      <c r="C166" s="234" t="s">
        <v>165</v>
      </c>
      <c r="D166" s="252">
        <v>1000</v>
      </c>
      <c r="E166" s="241">
        <v>10000</v>
      </c>
      <c r="F166" s="237">
        <v>0.1</v>
      </c>
      <c r="G166" s="240"/>
      <c r="H166" s="241"/>
      <c r="I166" s="239">
        <v>0.1</v>
      </c>
      <c r="J166" s="235">
        <v>0.05</v>
      </c>
      <c r="K166" s="236" t="s">
        <v>46</v>
      </c>
      <c r="L166" s="237" t="s">
        <v>50</v>
      </c>
    </row>
    <row r="167" spans="1:12">
      <c r="A167" s="232">
        <v>2540</v>
      </c>
      <c r="B167" s="233" t="s">
        <v>146</v>
      </c>
      <c r="C167" s="234" t="s">
        <v>166</v>
      </c>
      <c r="D167" s="235">
        <v>450</v>
      </c>
      <c r="E167" s="236">
        <v>1000</v>
      </c>
      <c r="F167" s="237">
        <v>0.45</v>
      </c>
      <c r="G167" s="240"/>
      <c r="H167" s="241"/>
      <c r="I167" s="239">
        <v>0.45</v>
      </c>
      <c r="J167" s="235">
        <v>0.05</v>
      </c>
      <c r="K167" s="236" t="s">
        <v>46</v>
      </c>
      <c r="L167" s="237" t="s">
        <v>52</v>
      </c>
    </row>
    <row r="168" spans="1:12">
      <c r="A168" s="232">
        <v>2541</v>
      </c>
      <c r="B168" s="233" t="s">
        <v>146</v>
      </c>
      <c r="C168" s="234" t="s">
        <v>167</v>
      </c>
      <c r="D168" s="235">
        <v>230</v>
      </c>
      <c r="E168" s="236">
        <v>1000</v>
      </c>
      <c r="F168" s="237">
        <v>0.23</v>
      </c>
      <c r="G168" s="240">
        <v>31</v>
      </c>
      <c r="H168" s="241">
        <v>100</v>
      </c>
      <c r="I168" s="239">
        <v>0.31</v>
      </c>
      <c r="J168" s="235">
        <v>0.15</v>
      </c>
      <c r="K168" s="236" t="s">
        <v>46</v>
      </c>
      <c r="L168" s="237" t="s">
        <v>47</v>
      </c>
    </row>
    <row r="169" spans="1:12">
      <c r="A169" s="232">
        <v>2542</v>
      </c>
      <c r="B169" s="233" t="s">
        <v>146</v>
      </c>
      <c r="C169" s="234" t="s">
        <v>582</v>
      </c>
      <c r="D169" s="235"/>
      <c r="E169" s="236"/>
      <c r="F169" s="237">
        <v>10</v>
      </c>
      <c r="G169" s="240"/>
      <c r="H169" s="241"/>
      <c r="I169" s="239">
        <v>10</v>
      </c>
      <c r="J169" s="235">
        <v>0.05</v>
      </c>
      <c r="K169" s="236" t="s">
        <v>147</v>
      </c>
      <c r="L169" s="237" t="s">
        <v>147</v>
      </c>
    </row>
    <row r="170" spans="1:12">
      <c r="A170" s="232">
        <v>2543</v>
      </c>
      <c r="B170" s="233" t="s">
        <v>146</v>
      </c>
      <c r="C170" s="234" t="s">
        <v>168</v>
      </c>
      <c r="D170" s="235">
        <v>28</v>
      </c>
      <c r="E170" s="236">
        <v>1000</v>
      </c>
      <c r="F170" s="237">
        <v>2.8000000000000001E-2</v>
      </c>
      <c r="G170" s="238">
        <v>0.05</v>
      </c>
      <c r="H170" s="236">
        <v>10</v>
      </c>
      <c r="I170" s="239">
        <v>5.0000000000000001E-3</v>
      </c>
      <c r="J170" s="235">
        <v>0.05</v>
      </c>
      <c r="K170" s="236" t="s">
        <v>147</v>
      </c>
      <c r="L170" s="237" t="s">
        <v>147</v>
      </c>
    </row>
    <row r="171" spans="1:12">
      <c r="A171" s="232">
        <v>2544</v>
      </c>
      <c r="B171" s="233" t="s">
        <v>146</v>
      </c>
      <c r="C171" s="234" t="s">
        <v>169</v>
      </c>
      <c r="D171" s="252">
        <v>25</v>
      </c>
      <c r="E171" s="241">
        <v>5000</v>
      </c>
      <c r="F171" s="237">
        <v>5.0000000000000001E-3</v>
      </c>
      <c r="G171" s="240"/>
      <c r="H171" s="241"/>
      <c r="I171" s="239">
        <v>5.0000000000000001E-3</v>
      </c>
      <c r="J171" s="235">
        <v>0.05</v>
      </c>
      <c r="K171" s="236" t="s">
        <v>46</v>
      </c>
      <c r="L171" s="237" t="s">
        <v>50</v>
      </c>
    </row>
    <row r="172" spans="1:12">
      <c r="A172" s="232">
        <v>2545</v>
      </c>
      <c r="B172" s="233" t="s">
        <v>146</v>
      </c>
      <c r="C172" s="234" t="s">
        <v>170</v>
      </c>
      <c r="D172" s="235">
        <v>113</v>
      </c>
      <c r="E172" s="236">
        <v>5000</v>
      </c>
      <c r="F172" s="237">
        <v>2.2599999999999999E-2</v>
      </c>
      <c r="G172" s="238"/>
      <c r="H172" s="236"/>
      <c r="I172" s="239">
        <v>2.2599999999999999E-2</v>
      </c>
      <c r="J172" s="235">
        <v>0.05</v>
      </c>
      <c r="K172" s="236" t="s">
        <v>46</v>
      </c>
      <c r="L172" s="237" t="s">
        <v>52</v>
      </c>
    </row>
    <row r="173" spans="1:12">
      <c r="A173" s="232">
        <v>2546</v>
      </c>
      <c r="B173" s="233" t="s">
        <v>146</v>
      </c>
      <c r="C173" s="234" t="s">
        <v>171</v>
      </c>
      <c r="D173" s="235">
        <v>0.17</v>
      </c>
      <c r="E173" s="236">
        <v>1000</v>
      </c>
      <c r="F173" s="237">
        <v>1.7000000000000001E-4</v>
      </c>
      <c r="G173" s="240">
        <v>6.0000000000000001E-3</v>
      </c>
      <c r="H173" s="241">
        <v>10</v>
      </c>
      <c r="I173" s="239">
        <v>6.0000000000000006E-4</v>
      </c>
      <c r="J173" s="235">
        <v>0.01</v>
      </c>
      <c r="K173" s="236" t="s">
        <v>46</v>
      </c>
      <c r="L173" s="237" t="s">
        <v>50</v>
      </c>
    </row>
    <row r="174" spans="1:12">
      <c r="A174" s="232">
        <v>2547</v>
      </c>
      <c r="B174" s="233" t="s">
        <v>146</v>
      </c>
      <c r="C174" s="234" t="s">
        <v>172</v>
      </c>
      <c r="D174" s="235">
        <v>18</v>
      </c>
      <c r="E174" s="236">
        <v>1000</v>
      </c>
      <c r="F174" s="237">
        <v>1.7999999999999999E-2</v>
      </c>
      <c r="G174" s="240"/>
      <c r="H174" s="241"/>
      <c r="I174" s="239">
        <v>1.7999999999999999E-2</v>
      </c>
      <c r="J174" s="235">
        <v>0.01</v>
      </c>
      <c r="K174" s="236" t="s">
        <v>46</v>
      </c>
      <c r="L174" s="237" t="s">
        <v>50</v>
      </c>
    </row>
    <row r="175" spans="1:12">
      <c r="A175" s="232">
        <v>2548</v>
      </c>
      <c r="B175" s="233" t="s">
        <v>146</v>
      </c>
      <c r="C175" s="234" t="s">
        <v>173</v>
      </c>
      <c r="D175" s="235">
        <v>1972</v>
      </c>
      <c r="E175" s="236">
        <v>1000</v>
      </c>
      <c r="F175" s="237">
        <v>1.972</v>
      </c>
      <c r="G175" s="238"/>
      <c r="H175" s="236"/>
      <c r="I175" s="239">
        <v>1.972</v>
      </c>
      <c r="J175" s="235">
        <v>0.05</v>
      </c>
      <c r="K175" s="236" t="s">
        <v>46</v>
      </c>
      <c r="L175" s="237" t="s">
        <v>52</v>
      </c>
    </row>
    <row r="176" spans="1:12">
      <c r="A176" s="232">
        <v>2549</v>
      </c>
      <c r="B176" s="233" t="s">
        <v>146</v>
      </c>
      <c r="C176" s="234" t="s">
        <v>174</v>
      </c>
      <c r="D176" s="235">
        <v>2</v>
      </c>
      <c r="E176" s="236">
        <v>1000</v>
      </c>
      <c r="F176" s="237">
        <v>2E-3</v>
      </c>
      <c r="G176" s="240"/>
      <c r="H176" s="241"/>
      <c r="I176" s="239">
        <v>2E-3</v>
      </c>
      <c r="J176" s="235">
        <v>0.5</v>
      </c>
      <c r="K176" s="236" t="s">
        <v>65</v>
      </c>
      <c r="L176" s="237" t="s">
        <v>47</v>
      </c>
    </row>
    <row r="177" spans="1:12">
      <c r="A177" s="232">
        <v>2550</v>
      </c>
      <c r="B177" s="233" t="s">
        <v>146</v>
      </c>
      <c r="C177" s="234" t="s">
        <v>175</v>
      </c>
      <c r="D177" s="235">
        <v>10</v>
      </c>
      <c r="E177" s="236">
        <v>1000</v>
      </c>
      <c r="F177" s="237">
        <v>0.01</v>
      </c>
      <c r="G177" s="240"/>
      <c r="H177" s="241"/>
      <c r="I177" s="239">
        <v>0.01</v>
      </c>
      <c r="J177" s="235">
        <v>1</v>
      </c>
      <c r="K177" s="236" t="s">
        <v>135</v>
      </c>
      <c r="L177" s="237" t="s">
        <v>47</v>
      </c>
    </row>
    <row r="178" spans="1:12">
      <c r="A178" s="232">
        <v>2551</v>
      </c>
      <c r="B178" s="233" t="s">
        <v>146</v>
      </c>
      <c r="C178" s="234" t="s">
        <v>176</v>
      </c>
      <c r="D178" s="235">
        <v>100</v>
      </c>
      <c r="E178" s="236">
        <v>1000</v>
      </c>
      <c r="F178" s="237">
        <v>0.1</v>
      </c>
      <c r="G178" s="240"/>
      <c r="H178" s="241"/>
      <c r="I178" s="239">
        <v>0.1</v>
      </c>
      <c r="J178" s="235">
        <v>0.05</v>
      </c>
      <c r="K178" s="236" t="s">
        <v>46</v>
      </c>
      <c r="L178" s="237" t="s">
        <v>50</v>
      </c>
    </row>
    <row r="179" spans="1:12">
      <c r="A179" s="232">
        <v>2552</v>
      </c>
      <c r="B179" s="233" t="s">
        <v>146</v>
      </c>
      <c r="C179" s="234" t="s">
        <v>583</v>
      </c>
      <c r="D179" s="235">
        <v>655</v>
      </c>
      <c r="E179" s="236">
        <v>1000</v>
      </c>
      <c r="F179" s="237">
        <v>0.65500000000000003</v>
      </c>
      <c r="G179" s="240"/>
      <c r="H179" s="241"/>
      <c r="I179" s="239">
        <v>0.65500000000000003</v>
      </c>
      <c r="J179" s="235">
        <v>1</v>
      </c>
      <c r="K179" s="236" t="s">
        <v>135</v>
      </c>
      <c r="L179" s="237" t="s">
        <v>52</v>
      </c>
    </row>
    <row r="180" spans="1:12">
      <c r="A180" s="232">
        <v>2553</v>
      </c>
      <c r="B180" s="233" t="s">
        <v>146</v>
      </c>
      <c r="C180" s="234" t="s">
        <v>584</v>
      </c>
      <c r="D180" s="235">
        <v>530</v>
      </c>
      <c r="E180" s="236">
        <v>1000</v>
      </c>
      <c r="F180" s="237">
        <v>0.53</v>
      </c>
      <c r="G180" s="240"/>
      <c r="H180" s="241"/>
      <c r="I180" s="239">
        <v>0.53</v>
      </c>
      <c r="J180" s="235">
        <v>1</v>
      </c>
      <c r="K180" s="236" t="s">
        <v>135</v>
      </c>
      <c r="L180" s="237" t="s">
        <v>47</v>
      </c>
    </row>
    <row r="181" spans="1:12">
      <c r="A181" s="232">
        <v>2554</v>
      </c>
      <c r="B181" s="233" t="s">
        <v>146</v>
      </c>
      <c r="C181" s="234" t="s">
        <v>177</v>
      </c>
      <c r="D181" s="235">
        <v>0.2</v>
      </c>
      <c r="E181" s="236">
        <v>1000</v>
      </c>
      <c r="F181" s="237">
        <v>2.0000000000000001E-4</v>
      </c>
      <c r="G181" s="240">
        <v>0.16</v>
      </c>
      <c r="H181" s="241">
        <v>100</v>
      </c>
      <c r="I181" s="239">
        <v>1.6000000000000001E-3</v>
      </c>
      <c r="J181" s="235">
        <v>1</v>
      </c>
      <c r="K181" s="236" t="s">
        <v>135</v>
      </c>
      <c r="L181" s="237" t="s">
        <v>47</v>
      </c>
    </row>
    <row r="182" spans="1:12">
      <c r="A182" s="232">
        <v>2555</v>
      </c>
      <c r="B182" s="233" t="s">
        <v>146</v>
      </c>
      <c r="C182" s="234" t="s">
        <v>585</v>
      </c>
      <c r="D182" s="235">
        <v>81</v>
      </c>
      <c r="E182" s="236">
        <v>1000</v>
      </c>
      <c r="F182" s="237">
        <v>8.1000000000000003E-2</v>
      </c>
      <c r="G182" s="240">
        <v>11.7</v>
      </c>
      <c r="H182" s="241">
        <v>50</v>
      </c>
      <c r="I182" s="239">
        <v>0.23400000000000001</v>
      </c>
      <c r="J182" s="235">
        <v>0.05</v>
      </c>
      <c r="K182" s="236" t="s">
        <v>46</v>
      </c>
      <c r="L182" s="237" t="s">
        <v>47</v>
      </c>
    </row>
    <row r="183" spans="1:12">
      <c r="A183" s="232">
        <v>2556</v>
      </c>
      <c r="B183" s="233" t="s">
        <v>146</v>
      </c>
      <c r="C183" s="234" t="s">
        <v>586</v>
      </c>
      <c r="D183" s="235">
        <v>100</v>
      </c>
      <c r="E183" s="236">
        <v>1000</v>
      </c>
      <c r="F183" s="237">
        <v>0.1</v>
      </c>
      <c r="G183" s="238">
        <v>5.5</v>
      </c>
      <c r="H183" s="236">
        <v>50</v>
      </c>
      <c r="I183" s="239">
        <v>0.11</v>
      </c>
      <c r="J183" s="235">
        <v>0.5</v>
      </c>
      <c r="K183" s="236" t="s">
        <v>65</v>
      </c>
      <c r="L183" s="237" t="s">
        <v>47</v>
      </c>
    </row>
    <row r="184" spans="1:12">
      <c r="A184" s="232">
        <v>2557</v>
      </c>
      <c r="B184" s="233" t="s">
        <v>146</v>
      </c>
      <c r="C184" s="234" t="s">
        <v>587</v>
      </c>
      <c r="D184" s="235">
        <v>10</v>
      </c>
      <c r="E184" s="236">
        <v>1000</v>
      </c>
      <c r="F184" s="237">
        <v>0.01</v>
      </c>
      <c r="G184" s="238">
        <v>1</v>
      </c>
      <c r="H184" s="236">
        <v>10</v>
      </c>
      <c r="I184" s="239">
        <v>0.1</v>
      </c>
      <c r="J184" s="235">
        <v>1</v>
      </c>
      <c r="K184" s="236" t="s">
        <v>135</v>
      </c>
      <c r="L184" s="237" t="s">
        <v>47</v>
      </c>
    </row>
    <row r="185" spans="1:12">
      <c r="A185" s="232">
        <v>2558</v>
      </c>
      <c r="B185" s="233" t="s">
        <v>146</v>
      </c>
      <c r="C185" s="234" t="s">
        <v>588</v>
      </c>
      <c r="D185" s="235">
        <v>4.2249999999999996</v>
      </c>
      <c r="E185" s="236">
        <v>1000</v>
      </c>
      <c r="F185" s="237">
        <v>4.2249999999999996E-3</v>
      </c>
      <c r="G185" s="238">
        <v>0.11</v>
      </c>
      <c r="H185" s="236">
        <v>50</v>
      </c>
      <c r="I185" s="239">
        <v>2.2000000000000001E-3</v>
      </c>
      <c r="J185" s="235">
        <v>0.05</v>
      </c>
      <c r="K185" s="236" t="s">
        <v>46</v>
      </c>
      <c r="L185" s="237" t="s">
        <v>52</v>
      </c>
    </row>
    <row r="186" spans="1:12">
      <c r="A186" s="232">
        <v>2559</v>
      </c>
      <c r="B186" s="233" t="s">
        <v>146</v>
      </c>
      <c r="C186" s="234" t="s">
        <v>589</v>
      </c>
      <c r="D186" s="235">
        <v>0.26</v>
      </c>
      <c r="E186" s="236">
        <v>1000</v>
      </c>
      <c r="F186" s="237">
        <v>2.6000000000000003E-4</v>
      </c>
      <c r="G186" s="238">
        <v>3.9600000000000003E-2</v>
      </c>
      <c r="H186" s="236">
        <v>50</v>
      </c>
      <c r="I186" s="239">
        <v>7.9200000000000006E-4</v>
      </c>
      <c r="J186" s="235">
        <v>0.05</v>
      </c>
      <c r="K186" s="236" t="s">
        <v>46</v>
      </c>
      <c r="L186" s="237" t="s">
        <v>52</v>
      </c>
    </row>
    <row r="187" spans="1:12">
      <c r="A187" s="232">
        <v>2560</v>
      </c>
      <c r="B187" s="233" t="s">
        <v>146</v>
      </c>
      <c r="C187" s="234" t="s">
        <v>178</v>
      </c>
      <c r="D187" s="235">
        <v>100</v>
      </c>
      <c r="E187" s="236">
        <v>1000</v>
      </c>
      <c r="F187" s="237">
        <v>0.1</v>
      </c>
      <c r="G187" s="238"/>
      <c r="H187" s="236"/>
      <c r="I187" s="239">
        <v>0.1</v>
      </c>
      <c r="J187" s="235">
        <v>0.05</v>
      </c>
      <c r="K187" s="236" t="s">
        <v>46</v>
      </c>
      <c r="L187" s="237" t="s">
        <v>50</v>
      </c>
    </row>
    <row r="188" spans="1:12">
      <c r="A188" s="232">
        <v>2561</v>
      </c>
      <c r="B188" s="233" t="s">
        <v>146</v>
      </c>
      <c r="C188" s="234" t="s">
        <v>590</v>
      </c>
      <c r="D188" s="235">
        <v>31</v>
      </c>
      <c r="E188" s="236">
        <v>1000</v>
      </c>
      <c r="F188" s="237">
        <v>3.1E-2</v>
      </c>
      <c r="G188" s="238"/>
      <c r="H188" s="236"/>
      <c r="I188" s="239">
        <v>3.1E-2</v>
      </c>
      <c r="J188" s="235">
        <v>0.05</v>
      </c>
      <c r="K188" s="236" t="s">
        <v>46</v>
      </c>
      <c r="L188" s="237" t="s">
        <v>52</v>
      </c>
    </row>
    <row r="189" spans="1:12">
      <c r="A189" s="232">
        <v>2562</v>
      </c>
      <c r="B189" s="233" t="s">
        <v>146</v>
      </c>
      <c r="C189" s="234" t="s">
        <v>591</v>
      </c>
      <c r="D189" s="235">
        <v>106</v>
      </c>
      <c r="E189" s="236">
        <v>1000</v>
      </c>
      <c r="F189" s="237">
        <v>0.106</v>
      </c>
      <c r="G189" s="238"/>
      <c r="H189" s="236"/>
      <c r="I189" s="239">
        <v>0.106</v>
      </c>
      <c r="J189" s="235">
        <v>0.05</v>
      </c>
      <c r="K189" s="236" t="s">
        <v>46</v>
      </c>
      <c r="L189" s="237" t="s">
        <v>50</v>
      </c>
    </row>
    <row r="190" spans="1:12">
      <c r="A190" s="232">
        <v>2563</v>
      </c>
      <c r="B190" s="233" t="s">
        <v>146</v>
      </c>
      <c r="C190" s="234" t="s">
        <v>592</v>
      </c>
      <c r="D190" s="235">
        <v>106</v>
      </c>
      <c r="E190" s="236">
        <v>1000</v>
      </c>
      <c r="F190" s="237">
        <v>0.106</v>
      </c>
      <c r="G190" s="240"/>
      <c r="H190" s="241"/>
      <c r="I190" s="239">
        <v>0.106</v>
      </c>
      <c r="J190" s="235">
        <v>0.05</v>
      </c>
      <c r="K190" s="236" t="s">
        <v>46</v>
      </c>
      <c r="L190" s="237" t="s">
        <v>52</v>
      </c>
    </row>
    <row r="191" spans="1:12">
      <c r="A191" s="232">
        <v>2564</v>
      </c>
      <c r="B191" s="233" t="s">
        <v>146</v>
      </c>
      <c r="C191" s="234" t="s">
        <v>593</v>
      </c>
      <c r="D191" s="235">
        <v>51</v>
      </c>
      <c r="E191" s="236">
        <v>1000</v>
      </c>
      <c r="F191" s="237">
        <v>5.0999999999999997E-2</v>
      </c>
      <c r="G191" s="240"/>
      <c r="H191" s="241"/>
      <c r="I191" s="239">
        <v>5.0999999999999997E-2</v>
      </c>
      <c r="J191" s="235">
        <v>0.05</v>
      </c>
      <c r="K191" s="236" t="s">
        <v>46</v>
      </c>
      <c r="L191" s="237" t="s">
        <v>52</v>
      </c>
    </row>
    <row r="192" spans="1:12">
      <c r="A192" s="232">
        <v>2565</v>
      </c>
      <c r="B192" s="233" t="s">
        <v>146</v>
      </c>
      <c r="C192" s="234" t="s">
        <v>594</v>
      </c>
      <c r="D192" s="235">
        <v>138</v>
      </c>
      <c r="E192" s="236">
        <v>1000</v>
      </c>
      <c r="F192" s="237">
        <v>0.13800000000000001</v>
      </c>
      <c r="G192" s="240"/>
      <c r="H192" s="241"/>
      <c r="I192" s="239">
        <v>0.13800000000000001</v>
      </c>
      <c r="J192" s="235">
        <v>0.05</v>
      </c>
      <c r="K192" s="236" t="s">
        <v>147</v>
      </c>
      <c r="L192" s="237" t="s">
        <v>147</v>
      </c>
    </row>
    <row r="193" spans="1:12">
      <c r="A193" s="232">
        <v>2566</v>
      </c>
      <c r="B193" s="233" t="s">
        <v>146</v>
      </c>
      <c r="C193" s="234" t="s">
        <v>595</v>
      </c>
      <c r="D193" s="235">
        <v>128</v>
      </c>
      <c r="E193" s="236">
        <v>5000</v>
      </c>
      <c r="F193" s="237">
        <v>2.5600000000000001E-2</v>
      </c>
      <c r="G193" s="240"/>
      <c r="H193" s="241"/>
      <c r="I193" s="239">
        <v>2.5600000000000001E-2</v>
      </c>
      <c r="J193" s="235">
        <v>0.05</v>
      </c>
      <c r="K193" s="236" t="s">
        <v>46</v>
      </c>
      <c r="L193" s="237" t="s">
        <v>52</v>
      </c>
    </row>
    <row r="194" spans="1:12">
      <c r="A194" s="232">
        <v>2567</v>
      </c>
      <c r="B194" s="233" t="s">
        <v>146</v>
      </c>
      <c r="C194" s="234" t="s">
        <v>596</v>
      </c>
      <c r="D194" s="235">
        <v>30</v>
      </c>
      <c r="E194" s="236">
        <v>1000</v>
      </c>
      <c r="F194" s="237">
        <v>0.03</v>
      </c>
      <c r="G194" s="240"/>
      <c r="H194" s="241"/>
      <c r="I194" s="239">
        <v>0.03</v>
      </c>
      <c r="J194" s="235">
        <v>0.05</v>
      </c>
      <c r="K194" s="236" t="s">
        <v>46</v>
      </c>
      <c r="L194" s="237" t="s">
        <v>50</v>
      </c>
    </row>
    <row r="195" spans="1:12">
      <c r="A195" s="232">
        <v>2568</v>
      </c>
      <c r="B195" s="233" t="s">
        <v>146</v>
      </c>
      <c r="C195" s="234" t="s">
        <v>597</v>
      </c>
      <c r="D195" s="235">
        <v>130</v>
      </c>
      <c r="E195" s="236">
        <v>1000</v>
      </c>
      <c r="F195" s="237">
        <v>0.13</v>
      </c>
      <c r="G195" s="240"/>
      <c r="H195" s="241"/>
      <c r="I195" s="239">
        <v>0.13</v>
      </c>
      <c r="J195" s="235">
        <v>0.05</v>
      </c>
      <c r="K195" s="236" t="s">
        <v>46</v>
      </c>
      <c r="L195" s="237" t="s">
        <v>50</v>
      </c>
    </row>
    <row r="196" spans="1:12">
      <c r="A196" s="232">
        <v>2569</v>
      </c>
      <c r="B196" s="233" t="s">
        <v>146</v>
      </c>
      <c r="C196" s="234" t="s">
        <v>598</v>
      </c>
      <c r="D196" s="235">
        <v>48</v>
      </c>
      <c r="E196" s="236">
        <v>1000</v>
      </c>
      <c r="F196" s="237">
        <v>4.8000000000000001E-2</v>
      </c>
      <c r="G196" s="240"/>
      <c r="H196" s="241"/>
      <c r="I196" s="239">
        <v>4.8000000000000001E-2</v>
      </c>
      <c r="J196" s="235">
        <v>1</v>
      </c>
      <c r="K196" s="236" t="s">
        <v>147</v>
      </c>
      <c r="L196" s="237" t="s">
        <v>147</v>
      </c>
    </row>
    <row r="197" spans="1:12">
      <c r="A197" s="232">
        <v>2570</v>
      </c>
      <c r="B197" s="233" t="s">
        <v>146</v>
      </c>
      <c r="C197" s="234" t="s">
        <v>599</v>
      </c>
      <c r="D197" s="235">
        <v>100</v>
      </c>
      <c r="E197" s="236">
        <v>1000</v>
      </c>
      <c r="F197" s="237">
        <v>0.1</v>
      </c>
      <c r="G197" s="240">
        <v>10</v>
      </c>
      <c r="H197" s="241">
        <v>50</v>
      </c>
      <c r="I197" s="239">
        <v>0.2</v>
      </c>
      <c r="J197" s="235">
        <v>0.05</v>
      </c>
      <c r="K197" s="236" t="s">
        <v>46</v>
      </c>
      <c r="L197" s="237" t="s">
        <v>52</v>
      </c>
    </row>
    <row r="198" spans="1:12">
      <c r="A198" s="232">
        <v>2571</v>
      </c>
      <c r="B198" s="233" t="s">
        <v>146</v>
      </c>
      <c r="C198" s="234" t="s">
        <v>600</v>
      </c>
      <c r="D198" s="235">
        <v>31.2</v>
      </c>
      <c r="E198" s="236">
        <v>1000</v>
      </c>
      <c r="F198" s="237">
        <v>3.1199999999999999E-2</v>
      </c>
      <c r="G198" s="240"/>
      <c r="H198" s="241"/>
      <c r="I198" s="239">
        <v>3.1199999999999999E-2</v>
      </c>
      <c r="J198" s="235">
        <v>0.05</v>
      </c>
      <c r="K198" s="236" t="s">
        <v>46</v>
      </c>
      <c r="L198" s="237" t="s">
        <v>52</v>
      </c>
    </row>
    <row r="199" spans="1:12">
      <c r="A199" s="232">
        <v>2572</v>
      </c>
      <c r="B199" s="233" t="s">
        <v>146</v>
      </c>
      <c r="C199" s="234" t="s">
        <v>601</v>
      </c>
      <c r="D199" s="235">
        <v>208</v>
      </c>
      <c r="E199" s="236">
        <v>5000</v>
      </c>
      <c r="F199" s="237">
        <v>4.1599999999999998E-2</v>
      </c>
      <c r="G199" s="240"/>
      <c r="H199" s="241"/>
      <c r="I199" s="239">
        <v>4.1599999999999998E-2</v>
      </c>
      <c r="J199" s="235">
        <v>0.05</v>
      </c>
      <c r="K199" s="236" t="s">
        <v>46</v>
      </c>
      <c r="L199" s="237" t="s">
        <v>52</v>
      </c>
    </row>
    <row r="200" spans="1:12">
      <c r="A200" s="232">
        <v>2573</v>
      </c>
      <c r="B200" s="233" t="s">
        <v>146</v>
      </c>
      <c r="C200" s="234" t="s">
        <v>602</v>
      </c>
      <c r="D200" s="235">
        <v>95</v>
      </c>
      <c r="E200" s="236">
        <v>5000</v>
      </c>
      <c r="F200" s="237">
        <v>1.9E-2</v>
      </c>
      <c r="G200" s="238"/>
      <c r="H200" s="236"/>
      <c r="I200" s="239">
        <v>1.9E-2</v>
      </c>
      <c r="J200" s="235">
        <v>0.05</v>
      </c>
      <c r="K200" s="236" t="s">
        <v>46</v>
      </c>
      <c r="L200" s="237" t="s">
        <v>52</v>
      </c>
    </row>
    <row r="201" spans="1:12">
      <c r="A201" s="232">
        <v>2574</v>
      </c>
      <c r="B201" s="233" t="s">
        <v>146</v>
      </c>
      <c r="C201" s="234" t="s">
        <v>603</v>
      </c>
      <c r="D201" s="235">
        <v>6500</v>
      </c>
      <c r="E201" s="236">
        <v>1000</v>
      </c>
      <c r="F201" s="237">
        <v>6.5</v>
      </c>
      <c r="G201" s="240"/>
      <c r="H201" s="241"/>
      <c r="I201" s="239">
        <v>6.5</v>
      </c>
      <c r="J201" s="235">
        <v>0.05</v>
      </c>
      <c r="K201" s="236" t="s">
        <v>46</v>
      </c>
      <c r="L201" s="237" t="s">
        <v>50</v>
      </c>
    </row>
    <row r="202" spans="1:12">
      <c r="A202" s="232">
        <v>2575</v>
      </c>
      <c r="B202" s="233" t="s">
        <v>146</v>
      </c>
      <c r="C202" s="234" t="s">
        <v>179</v>
      </c>
      <c r="D202" s="235">
        <v>911</v>
      </c>
      <c r="E202" s="236">
        <v>1000</v>
      </c>
      <c r="F202" s="237">
        <v>0.91100000000000003</v>
      </c>
      <c r="G202" s="240">
        <v>88</v>
      </c>
      <c r="H202" s="241">
        <v>10</v>
      </c>
      <c r="I202" s="239">
        <v>8.8000000000000007</v>
      </c>
      <c r="J202" s="235">
        <v>0.05</v>
      </c>
      <c r="K202" s="236" t="s">
        <v>46</v>
      </c>
      <c r="L202" s="237" t="s">
        <v>50</v>
      </c>
    </row>
    <row r="203" spans="1:12">
      <c r="A203" s="232">
        <v>2576</v>
      </c>
      <c r="B203" s="233" t="s">
        <v>146</v>
      </c>
      <c r="C203" s="234" t="s">
        <v>604</v>
      </c>
      <c r="D203" s="235">
        <v>4400</v>
      </c>
      <c r="E203" s="236">
        <v>1000</v>
      </c>
      <c r="F203" s="237">
        <v>4.4000000000000004</v>
      </c>
      <c r="G203" s="240">
        <v>100</v>
      </c>
      <c r="H203" s="241">
        <v>10</v>
      </c>
      <c r="I203" s="239">
        <v>10</v>
      </c>
      <c r="J203" s="235">
        <v>0.05</v>
      </c>
      <c r="K203" s="236" t="s">
        <v>46</v>
      </c>
      <c r="L203" s="237" t="s">
        <v>50</v>
      </c>
    </row>
    <row r="204" spans="1:12">
      <c r="A204" s="232">
        <v>2577</v>
      </c>
      <c r="B204" s="233" t="s">
        <v>146</v>
      </c>
      <c r="C204" s="234" t="s">
        <v>180</v>
      </c>
      <c r="D204" s="235">
        <v>500</v>
      </c>
      <c r="E204" s="236">
        <v>1000</v>
      </c>
      <c r="F204" s="237">
        <v>0.5</v>
      </c>
      <c r="G204" s="240"/>
      <c r="H204" s="241"/>
      <c r="I204" s="239">
        <v>0.5</v>
      </c>
      <c r="J204" s="235">
        <v>0.05</v>
      </c>
      <c r="K204" s="236" t="s">
        <v>46</v>
      </c>
      <c r="L204" s="237" t="s">
        <v>52</v>
      </c>
    </row>
    <row r="205" spans="1:12">
      <c r="A205" s="232">
        <v>2578</v>
      </c>
      <c r="B205" s="233" t="s">
        <v>146</v>
      </c>
      <c r="C205" s="234" t="s">
        <v>181</v>
      </c>
      <c r="D205" s="235">
        <v>3940</v>
      </c>
      <c r="E205" s="236">
        <v>5000</v>
      </c>
      <c r="F205" s="237">
        <v>0.78800000000000003</v>
      </c>
      <c r="G205" s="238"/>
      <c r="H205" s="236"/>
      <c r="I205" s="239">
        <v>0.78800000000000003</v>
      </c>
      <c r="J205" s="235">
        <v>0.05</v>
      </c>
      <c r="K205" s="236" t="s">
        <v>46</v>
      </c>
      <c r="L205" s="237" t="s">
        <v>52</v>
      </c>
    </row>
    <row r="206" spans="1:12">
      <c r="A206" s="232">
        <v>2579</v>
      </c>
      <c r="B206" s="233" t="s">
        <v>146</v>
      </c>
      <c r="C206" s="234" t="s">
        <v>182</v>
      </c>
      <c r="D206" s="235">
        <v>1254</v>
      </c>
      <c r="E206" s="236">
        <v>1000</v>
      </c>
      <c r="F206" s="237">
        <v>1.254</v>
      </c>
      <c r="G206" s="238"/>
      <c r="H206" s="236"/>
      <c r="I206" s="239">
        <v>1.254</v>
      </c>
      <c r="J206" s="235">
        <v>0.05</v>
      </c>
      <c r="K206" s="236" t="s">
        <v>46</v>
      </c>
      <c r="L206" s="237" t="s">
        <v>52</v>
      </c>
    </row>
    <row r="207" spans="1:12">
      <c r="A207" s="232">
        <v>2580</v>
      </c>
      <c r="B207" s="233" t="s">
        <v>146</v>
      </c>
      <c r="C207" s="234" t="s">
        <v>183</v>
      </c>
      <c r="D207" s="235">
        <v>943</v>
      </c>
      <c r="E207" s="236">
        <v>1000</v>
      </c>
      <c r="F207" s="237">
        <v>0.94299999999999995</v>
      </c>
      <c r="G207" s="240">
        <v>320</v>
      </c>
      <c r="H207" s="241">
        <v>50</v>
      </c>
      <c r="I207" s="239">
        <v>6.4</v>
      </c>
      <c r="J207" s="235">
        <v>0.5</v>
      </c>
      <c r="K207" s="236" t="s">
        <v>65</v>
      </c>
      <c r="L207" s="237" t="s">
        <v>52</v>
      </c>
    </row>
    <row r="208" spans="1:12">
      <c r="A208" s="232">
        <v>2581</v>
      </c>
      <c r="B208" s="233" t="s">
        <v>146</v>
      </c>
      <c r="C208" s="234" t="s">
        <v>605</v>
      </c>
      <c r="D208" s="235">
        <v>32000</v>
      </c>
      <c r="E208" s="236">
        <v>1000</v>
      </c>
      <c r="F208" s="237">
        <v>32</v>
      </c>
      <c r="G208" s="240"/>
      <c r="H208" s="241"/>
      <c r="I208" s="239">
        <v>32</v>
      </c>
      <c r="J208" s="235">
        <v>0.05</v>
      </c>
      <c r="K208" s="236" t="s">
        <v>46</v>
      </c>
      <c r="L208" s="237" t="s">
        <v>50</v>
      </c>
    </row>
    <row r="209" spans="1:12">
      <c r="A209" s="232">
        <v>2582</v>
      </c>
      <c r="B209" s="233" t="s">
        <v>146</v>
      </c>
      <c r="C209" s="234" t="s">
        <v>184</v>
      </c>
      <c r="D209" s="235">
        <v>500</v>
      </c>
      <c r="E209" s="236">
        <v>1000</v>
      </c>
      <c r="F209" s="237">
        <v>0.5</v>
      </c>
      <c r="G209" s="240"/>
      <c r="H209" s="241"/>
      <c r="I209" s="239">
        <v>0.5</v>
      </c>
      <c r="J209" s="235">
        <v>0.05</v>
      </c>
      <c r="K209" s="236" t="s">
        <v>46</v>
      </c>
      <c r="L209" s="237" t="s">
        <v>52</v>
      </c>
    </row>
    <row r="210" spans="1:12">
      <c r="A210" s="232">
        <v>2583</v>
      </c>
      <c r="B210" s="233" t="s">
        <v>146</v>
      </c>
      <c r="C210" s="234" t="s">
        <v>185</v>
      </c>
      <c r="D210" s="235">
        <v>762.5</v>
      </c>
      <c r="E210" s="236">
        <v>1000</v>
      </c>
      <c r="F210" s="237">
        <v>0.76249999999999996</v>
      </c>
      <c r="G210" s="238"/>
      <c r="H210" s="236"/>
      <c r="I210" s="239">
        <v>0.76249999999999996</v>
      </c>
      <c r="J210" s="235">
        <v>0.05</v>
      </c>
      <c r="K210" s="236" t="s">
        <v>46</v>
      </c>
      <c r="L210" s="237" t="s">
        <v>52</v>
      </c>
    </row>
    <row r="211" spans="1:12">
      <c r="A211" s="232">
        <v>2584</v>
      </c>
      <c r="B211" s="233" t="s">
        <v>146</v>
      </c>
      <c r="C211" s="234" t="s">
        <v>606</v>
      </c>
      <c r="D211" s="235">
        <v>109</v>
      </c>
      <c r="E211" s="236">
        <v>1000</v>
      </c>
      <c r="F211" s="237">
        <v>0.109</v>
      </c>
      <c r="G211" s="240">
        <v>172.5</v>
      </c>
      <c r="H211" s="241">
        <v>50</v>
      </c>
      <c r="I211" s="239">
        <v>3.45</v>
      </c>
      <c r="J211" s="235">
        <v>0.05</v>
      </c>
      <c r="K211" s="236" t="s">
        <v>46</v>
      </c>
      <c r="L211" s="237" t="s">
        <v>52</v>
      </c>
    </row>
    <row r="212" spans="1:12">
      <c r="A212" s="232">
        <v>2585</v>
      </c>
      <c r="B212" s="233" t="s">
        <v>146</v>
      </c>
      <c r="C212" s="234" t="s">
        <v>186</v>
      </c>
      <c r="D212" s="235">
        <v>969</v>
      </c>
      <c r="E212" s="236">
        <v>1000</v>
      </c>
      <c r="F212" s="237">
        <v>0.96899999999999997</v>
      </c>
      <c r="G212" s="240">
        <v>0.5</v>
      </c>
      <c r="H212" s="241">
        <v>50</v>
      </c>
      <c r="I212" s="239">
        <v>0.01</v>
      </c>
      <c r="J212" s="235">
        <v>0.05</v>
      </c>
      <c r="K212" s="236" t="s">
        <v>46</v>
      </c>
      <c r="L212" s="237" t="s">
        <v>52</v>
      </c>
    </row>
    <row r="213" spans="1:12">
      <c r="A213" s="232">
        <v>2586</v>
      </c>
      <c r="B213" s="233" t="s">
        <v>146</v>
      </c>
      <c r="C213" s="234" t="s">
        <v>187</v>
      </c>
      <c r="D213" s="235">
        <v>841</v>
      </c>
      <c r="E213" s="236">
        <v>1000</v>
      </c>
      <c r="F213" s="237">
        <v>0.84099999999999997</v>
      </c>
      <c r="G213" s="240"/>
      <c r="H213" s="241"/>
      <c r="I213" s="239">
        <v>0.84099999999999997</v>
      </c>
      <c r="J213" s="235">
        <v>0.05</v>
      </c>
      <c r="K213" s="236" t="s">
        <v>46</v>
      </c>
      <c r="L213" s="237" t="s">
        <v>52</v>
      </c>
    </row>
    <row r="214" spans="1:12">
      <c r="A214" s="232">
        <v>2587</v>
      </c>
      <c r="B214" s="233" t="s">
        <v>146</v>
      </c>
      <c r="C214" s="234" t="s">
        <v>188</v>
      </c>
      <c r="D214" s="235">
        <v>1000</v>
      </c>
      <c r="E214" s="236">
        <v>5000</v>
      </c>
      <c r="F214" s="237">
        <v>0.2</v>
      </c>
      <c r="G214" s="238"/>
      <c r="H214" s="236"/>
      <c r="I214" s="239">
        <v>0.2</v>
      </c>
      <c r="J214" s="235">
        <v>0.5</v>
      </c>
      <c r="K214" s="236" t="s">
        <v>65</v>
      </c>
      <c r="L214" s="237" t="s">
        <v>52</v>
      </c>
    </row>
    <row r="215" spans="1:12">
      <c r="A215" s="232">
        <v>2588</v>
      </c>
      <c r="B215" s="233" t="s">
        <v>146</v>
      </c>
      <c r="C215" s="234" t="s">
        <v>607</v>
      </c>
      <c r="D215" s="235">
        <v>4400</v>
      </c>
      <c r="E215" s="236">
        <v>1000</v>
      </c>
      <c r="F215" s="237">
        <v>4.4000000000000004</v>
      </c>
      <c r="G215" s="238"/>
      <c r="H215" s="236"/>
      <c r="I215" s="239">
        <v>4.4000000000000004</v>
      </c>
      <c r="J215" s="235">
        <v>0.5</v>
      </c>
      <c r="K215" s="236" t="s">
        <v>65</v>
      </c>
      <c r="L215" s="237" t="s">
        <v>52</v>
      </c>
    </row>
    <row r="216" spans="1:12">
      <c r="A216" s="232">
        <v>2589</v>
      </c>
      <c r="B216" s="233" t="s">
        <v>146</v>
      </c>
      <c r="C216" s="234" t="s">
        <v>608</v>
      </c>
      <c r="D216" s="235">
        <v>1.8</v>
      </c>
      <c r="E216" s="236">
        <v>1000</v>
      </c>
      <c r="F216" s="237">
        <v>1.8E-3</v>
      </c>
      <c r="G216" s="240"/>
      <c r="H216" s="241"/>
      <c r="I216" s="239">
        <v>1.8E-3</v>
      </c>
      <c r="J216" s="235">
        <v>0.05</v>
      </c>
      <c r="K216" s="236" t="s">
        <v>46</v>
      </c>
      <c r="L216" s="237" t="s">
        <v>52</v>
      </c>
    </row>
    <row r="217" spans="1:12">
      <c r="A217" s="232">
        <v>2590</v>
      </c>
      <c r="B217" s="233" t="s">
        <v>146</v>
      </c>
      <c r="C217" s="234" t="s">
        <v>189</v>
      </c>
      <c r="D217" s="235">
        <v>100</v>
      </c>
      <c r="E217" s="236">
        <v>5000</v>
      </c>
      <c r="F217" s="237">
        <v>0.02</v>
      </c>
      <c r="G217" s="240"/>
      <c r="H217" s="241"/>
      <c r="I217" s="239">
        <v>0.02</v>
      </c>
      <c r="J217" s="235">
        <v>0.5</v>
      </c>
      <c r="K217" s="236" t="s">
        <v>65</v>
      </c>
      <c r="L217" s="237" t="s">
        <v>52</v>
      </c>
    </row>
    <row r="218" spans="1:12">
      <c r="A218" s="232">
        <v>2591</v>
      </c>
      <c r="B218" s="233" t="s">
        <v>146</v>
      </c>
      <c r="C218" s="234" t="s">
        <v>609</v>
      </c>
      <c r="D218" s="235">
        <v>10000</v>
      </c>
      <c r="E218" s="236">
        <v>10000</v>
      </c>
      <c r="F218" s="237">
        <v>1</v>
      </c>
      <c r="G218" s="240"/>
      <c r="H218" s="241"/>
      <c r="I218" s="239">
        <v>1</v>
      </c>
      <c r="J218" s="235">
        <v>0.05</v>
      </c>
      <c r="K218" s="236" t="s">
        <v>46</v>
      </c>
      <c r="L218" s="237" t="s">
        <v>50</v>
      </c>
    </row>
    <row r="219" spans="1:12">
      <c r="A219" s="232">
        <v>2592</v>
      </c>
      <c r="B219" s="233" t="s">
        <v>146</v>
      </c>
      <c r="C219" s="234" t="s">
        <v>610</v>
      </c>
      <c r="D219" s="235">
        <v>100</v>
      </c>
      <c r="E219" s="236">
        <v>1000</v>
      </c>
      <c r="F219" s="237">
        <v>0.1</v>
      </c>
      <c r="G219" s="240">
        <v>100</v>
      </c>
      <c r="H219" s="241">
        <v>50</v>
      </c>
      <c r="I219" s="239">
        <v>2</v>
      </c>
      <c r="J219" s="235">
        <v>0.05</v>
      </c>
      <c r="K219" s="236" t="s">
        <v>46</v>
      </c>
      <c r="L219" s="237" t="s">
        <v>50</v>
      </c>
    </row>
    <row r="220" spans="1:12">
      <c r="A220" s="232">
        <v>2593</v>
      </c>
      <c r="B220" s="233" t="s">
        <v>146</v>
      </c>
      <c r="C220" s="234" t="s">
        <v>190</v>
      </c>
      <c r="D220" s="235">
        <v>209</v>
      </c>
      <c r="E220" s="236">
        <v>5000</v>
      </c>
      <c r="F220" s="237">
        <v>4.1799999999999997E-2</v>
      </c>
      <c r="G220" s="240"/>
      <c r="H220" s="241"/>
      <c r="I220" s="239">
        <v>4.1799999999999997E-2</v>
      </c>
      <c r="J220" s="235">
        <v>1</v>
      </c>
      <c r="K220" s="236" t="s">
        <v>135</v>
      </c>
      <c r="L220" s="237" t="s">
        <v>52</v>
      </c>
    </row>
    <row r="221" spans="1:12">
      <c r="A221" s="232">
        <v>2594</v>
      </c>
      <c r="B221" s="233" t="s">
        <v>146</v>
      </c>
      <c r="C221" s="234" t="s">
        <v>191</v>
      </c>
      <c r="D221" s="235">
        <v>188</v>
      </c>
      <c r="E221" s="236">
        <v>5000</v>
      </c>
      <c r="F221" s="237">
        <v>3.7600000000000001E-2</v>
      </c>
      <c r="G221" s="240"/>
      <c r="H221" s="241"/>
      <c r="I221" s="239">
        <v>3.7600000000000001E-2</v>
      </c>
      <c r="J221" s="235">
        <v>1</v>
      </c>
      <c r="K221" s="236" t="s">
        <v>135</v>
      </c>
      <c r="L221" s="237" t="s">
        <v>52</v>
      </c>
    </row>
    <row r="222" spans="1:12">
      <c r="A222" s="232">
        <v>2595</v>
      </c>
      <c r="B222" s="233" t="s">
        <v>146</v>
      </c>
      <c r="C222" s="234" t="s">
        <v>192</v>
      </c>
      <c r="D222" s="235">
        <v>600</v>
      </c>
      <c r="E222" s="236">
        <v>1000</v>
      </c>
      <c r="F222" s="237">
        <v>0.6</v>
      </c>
      <c r="G222" s="240">
        <v>12.5</v>
      </c>
      <c r="H222" s="241">
        <v>50</v>
      </c>
      <c r="I222" s="239">
        <v>0.25</v>
      </c>
      <c r="J222" s="235">
        <v>0.05</v>
      </c>
      <c r="K222" s="236" t="s">
        <v>46</v>
      </c>
      <c r="L222" s="237" t="s">
        <v>52</v>
      </c>
    </row>
    <row r="223" spans="1:12">
      <c r="A223" s="232">
        <v>2596</v>
      </c>
      <c r="B223" s="233" t="s">
        <v>146</v>
      </c>
      <c r="C223" s="234" t="s">
        <v>611</v>
      </c>
      <c r="D223" s="235">
        <v>490</v>
      </c>
      <c r="E223" s="236">
        <v>1000</v>
      </c>
      <c r="F223" s="237">
        <v>0.49</v>
      </c>
      <c r="G223" s="240"/>
      <c r="H223" s="241"/>
      <c r="I223" s="239">
        <v>0.49</v>
      </c>
      <c r="J223" s="235">
        <v>0.05</v>
      </c>
      <c r="K223" s="236" t="s">
        <v>46</v>
      </c>
      <c r="L223" s="237" t="s">
        <v>52</v>
      </c>
    </row>
    <row r="224" spans="1:12">
      <c r="A224" s="232">
        <v>2597</v>
      </c>
      <c r="B224" s="233" t="s">
        <v>146</v>
      </c>
      <c r="C224" s="234" t="s">
        <v>193</v>
      </c>
      <c r="D224" s="235">
        <v>18</v>
      </c>
      <c r="E224" s="236">
        <v>1000</v>
      </c>
      <c r="F224" s="237">
        <v>1.7999999999999999E-2</v>
      </c>
      <c r="G224" s="240">
        <v>3.3</v>
      </c>
      <c r="H224" s="241">
        <v>100</v>
      </c>
      <c r="I224" s="239">
        <v>3.3000000000000002E-2</v>
      </c>
      <c r="J224" s="235">
        <v>0.05</v>
      </c>
      <c r="K224" s="236" t="s">
        <v>46</v>
      </c>
      <c r="L224" s="237" t="s">
        <v>52</v>
      </c>
    </row>
    <row r="225" spans="1:12">
      <c r="A225" s="232">
        <v>2598</v>
      </c>
      <c r="B225" s="233" t="s">
        <v>146</v>
      </c>
      <c r="C225" s="234" t="s">
        <v>612</v>
      </c>
      <c r="D225" s="235">
        <v>75</v>
      </c>
      <c r="E225" s="236">
        <v>1000</v>
      </c>
      <c r="F225" s="237">
        <v>7.4999999999999997E-2</v>
      </c>
      <c r="G225" s="240">
        <v>5.6</v>
      </c>
      <c r="H225" s="241">
        <v>50</v>
      </c>
      <c r="I225" s="239">
        <v>0.11199999999999999</v>
      </c>
      <c r="J225" s="235">
        <v>1</v>
      </c>
      <c r="K225" s="236" t="s">
        <v>135</v>
      </c>
      <c r="L225" s="237" t="s">
        <v>52</v>
      </c>
    </row>
    <row r="226" spans="1:12">
      <c r="A226" s="232">
        <v>2599</v>
      </c>
      <c r="B226" s="233" t="s">
        <v>146</v>
      </c>
      <c r="C226" s="234" t="s">
        <v>194</v>
      </c>
      <c r="D226" s="235">
        <v>100</v>
      </c>
      <c r="E226" s="236">
        <v>1000</v>
      </c>
      <c r="F226" s="237">
        <v>0.1</v>
      </c>
      <c r="G226" s="238">
        <v>120</v>
      </c>
      <c r="H226" s="236">
        <v>100</v>
      </c>
      <c r="I226" s="239">
        <v>1.2</v>
      </c>
      <c r="J226" s="235">
        <v>0.5</v>
      </c>
      <c r="K226" s="236" t="s">
        <v>65</v>
      </c>
      <c r="L226" s="237" t="s">
        <v>52</v>
      </c>
    </row>
    <row r="227" spans="1:12">
      <c r="A227" s="232">
        <v>2600</v>
      </c>
      <c r="B227" s="233" t="s">
        <v>146</v>
      </c>
      <c r="C227" s="234" t="s">
        <v>195</v>
      </c>
      <c r="D227" s="235">
        <v>120</v>
      </c>
      <c r="E227" s="236">
        <v>1000</v>
      </c>
      <c r="F227" s="237">
        <v>0.12</v>
      </c>
      <c r="G227" s="238">
        <v>120</v>
      </c>
      <c r="H227" s="236">
        <v>100</v>
      </c>
      <c r="I227" s="239">
        <v>1.2</v>
      </c>
      <c r="J227" s="235">
        <v>1</v>
      </c>
      <c r="K227" s="236" t="s">
        <v>135</v>
      </c>
      <c r="L227" s="237" t="s">
        <v>52</v>
      </c>
    </row>
    <row r="228" spans="1:12">
      <c r="A228" s="232">
        <v>2601</v>
      </c>
      <c r="B228" s="233" t="s">
        <v>146</v>
      </c>
      <c r="C228" s="234" t="s">
        <v>196</v>
      </c>
      <c r="D228" s="235">
        <v>120</v>
      </c>
      <c r="E228" s="236">
        <v>1000</v>
      </c>
      <c r="F228" s="237">
        <v>0.12</v>
      </c>
      <c r="G228" s="240">
        <v>120</v>
      </c>
      <c r="H228" s="241">
        <v>100</v>
      </c>
      <c r="I228" s="239">
        <v>1.2</v>
      </c>
      <c r="J228" s="235">
        <v>0.5</v>
      </c>
      <c r="K228" s="236" t="s">
        <v>65</v>
      </c>
      <c r="L228" s="237" t="s">
        <v>52</v>
      </c>
    </row>
    <row r="229" spans="1:12">
      <c r="A229" s="232">
        <v>2602</v>
      </c>
      <c r="B229" s="233" t="s">
        <v>146</v>
      </c>
      <c r="C229" s="234" t="s">
        <v>197</v>
      </c>
      <c r="D229" s="235">
        <v>38</v>
      </c>
      <c r="E229" s="236">
        <v>1000</v>
      </c>
      <c r="F229" s="237">
        <v>3.7999999999999999E-2</v>
      </c>
      <c r="G229" s="240"/>
      <c r="H229" s="241"/>
      <c r="I229" s="239">
        <v>3.7999999999999999E-2</v>
      </c>
      <c r="J229" s="235">
        <v>1</v>
      </c>
      <c r="K229" s="236" t="s">
        <v>135</v>
      </c>
      <c r="L229" s="237" t="s">
        <v>52</v>
      </c>
    </row>
    <row r="230" spans="1:12">
      <c r="A230" s="232">
        <v>2603</v>
      </c>
      <c r="B230" s="233" t="s">
        <v>146</v>
      </c>
      <c r="C230" s="234" t="s">
        <v>613</v>
      </c>
      <c r="D230" s="235">
        <v>100</v>
      </c>
      <c r="E230" s="236">
        <v>5000</v>
      </c>
      <c r="F230" s="237">
        <v>0.02</v>
      </c>
      <c r="G230" s="238"/>
      <c r="H230" s="236"/>
      <c r="I230" s="239">
        <v>0.02</v>
      </c>
      <c r="J230" s="235">
        <v>1</v>
      </c>
      <c r="K230" s="236" t="s">
        <v>135</v>
      </c>
      <c r="L230" s="237" t="s">
        <v>47</v>
      </c>
    </row>
    <row r="231" spans="1:12">
      <c r="A231" s="232">
        <v>2604</v>
      </c>
      <c r="B231" s="233" t="s">
        <v>146</v>
      </c>
      <c r="C231" s="234" t="s">
        <v>198</v>
      </c>
      <c r="D231" s="235">
        <v>13</v>
      </c>
      <c r="E231" s="236">
        <v>5000</v>
      </c>
      <c r="F231" s="237">
        <v>2.5999999999999999E-3</v>
      </c>
      <c r="G231" s="240"/>
      <c r="H231" s="241"/>
      <c r="I231" s="239">
        <v>2.5999999999999999E-3</v>
      </c>
      <c r="J231" s="235">
        <v>1</v>
      </c>
      <c r="K231" s="236" t="s">
        <v>52</v>
      </c>
      <c r="L231" s="237" t="s">
        <v>52</v>
      </c>
    </row>
    <row r="232" spans="1:12">
      <c r="A232" s="232">
        <v>2605</v>
      </c>
      <c r="B232" s="233" t="s">
        <v>146</v>
      </c>
      <c r="C232" s="234" t="s">
        <v>614</v>
      </c>
      <c r="D232" s="235">
        <v>40.700000000000003</v>
      </c>
      <c r="E232" s="236">
        <v>1000</v>
      </c>
      <c r="F232" s="237">
        <v>4.07E-2</v>
      </c>
      <c r="G232" s="238"/>
      <c r="H232" s="236"/>
      <c r="I232" s="239">
        <v>4.07E-2</v>
      </c>
      <c r="J232" s="235">
        <v>0.05</v>
      </c>
      <c r="K232" s="236" t="s">
        <v>46</v>
      </c>
      <c r="L232" s="237" t="s">
        <v>52</v>
      </c>
    </row>
    <row r="233" spans="1:12">
      <c r="A233" s="232">
        <v>2606</v>
      </c>
      <c r="B233" s="233" t="s">
        <v>146</v>
      </c>
      <c r="C233" s="234" t="s">
        <v>615</v>
      </c>
      <c r="D233" s="235">
        <v>528</v>
      </c>
      <c r="E233" s="236">
        <v>1000</v>
      </c>
      <c r="F233" s="237">
        <v>0.52800000000000002</v>
      </c>
      <c r="G233" s="238"/>
      <c r="H233" s="236"/>
      <c r="I233" s="239">
        <v>0.52800000000000002</v>
      </c>
      <c r="J233" s="235">
        <v>0.05</v>
      </c>
      <c r="K233" s="236" t="s">
        <v>46</v>
      </c>
      <c r="L233" s="237" t="s">
        <v>47</v>
      </c>
    </row>
    <row r="234" spans="1:12">
      <c r="A234" s="232">
        <v>2607</v>
      </c>
      <c r="B234" s="233" t="s">
        <v>146</v>
      </c>
      <c r="C234" s="234" t="s">
        <v>199</v>
      </c>
      <c r="D234" s="235">
        <v>39</v>
      </c>
      <c r="E234" s="236">
        <v>1000</v>
      </c>
      <c r="F234" s="237">
        <v>3.9E-2</v>
      </c>
      <c r="G234" s="238">
        <v>4.3</v>
      </c>
      <c r="H234" s="236">
        <v>100</v>
      </c>
      <c r="I234" s="239">
        <v>4.2999999999999997E-2</v>
      </c>
      <c r="J234" s="235">
        <v>0.5</v>
      </c>
      <c r="K234" s="236" t="s">
        <v>65</v>
      </c>
      <c r="L234" s="237" t="s">
        <v>52</v>
      </c>
    </row>
    <row r="235" spans="1:12">
      <c r="A235" s="232">
        <v>2608</v>
      </c>
      <c r="B235" s="233" t="s">
        <v>146</v>
      </c>
      <c r="C235" s="234" t="s">
        <v>200</v>
      </c>
      <c r="D235" s="235">
        <v>100</v>
      </c>
      <c r="E235" s="236">
        <v>1000</v>
      </c>
      <c r="F235" s="237">
        <v>0.1</v>
      </c>
      <c r="G235" s="238">
        <v>100</v>
      </c>
      <c r="H235" s="236">
        <v>10</v>
      </c>
      <c r="I235" s="239">
        <v>10</v>
      </c>
      <c r="J235" s="235">
        <v>0.05</v>
      </c>
      <c r="K235" s="236" t="s">
        <v>46</v>
      </c>
      <c r="L235" s="237" t="s">
        <v>50</v>
      </c>
    </row>
    <row r="236" spans="1:12">
      <c r="A236" s="232">
        <v>2609</v>
      </c>
      <c r="B236" s="233" t="s">
        <v>146</v>
      </c>
      <c r="C236" s="234" t="s">
        <v>201</v>
      </c>
      <c r="D236" s="235">
        <v>100</v>
      </c>
      <c r="E236" s="236">
        <v>1000</v>
      </c>
      <c r="F236" s="237">
        <v>0.1</v>
      </c>
      <c r="G236" s="238">
        <v>100</v>
      </c>
      <c r="H236" s="236">
        <v>50</v>
      </c>
      <c r="I236" s="239">
        <v>2</v>
      </c>
      <c r="J236" s="235">
        <v>1</v>
      </c>
      <c r="K236" s="236" t="s">
        <v>135</v>
      </c>
      <c r="L236" s="237" t="s">
        <v>52</v>
      </c>
    </row>
    <row r="237" spans="1:12">
      <c r="A237" s="232">
        <v>2610</v>
      </c>
      <c r="B237" s="233" t="s">
        <v>146</v>
      </c>
      <c r="C237" s="234" t="s">
        <v>202</v>
      </c>
      <c r="D237" s="235">
        <v>100</v>
      </c>
      <c r="E237" s="236">
        <v>1000</v>
      </c>
      <c r="F237" s="237">
        <v>0.1</v>
      </c>
      <c r="G237" s="240"/>
      <c r="H237" s="241"/>
      <c r="I237" s="239">
        <v>0.1</v>
      </c>
      <c r="J237" s="235">
        <v>0.05</v>
      </c>
      <c r="K237" s="236" t="s">
        <v>46</v>
      </c>
      <c r="L237" s="237" t="s">
        <v>52</v>
      </c>
    </row>
    <row r="238" spans="1:12">
      <c r="A238" s="232">
        <v>2611</v>
      </c>
      <c r="B238" s="233" t="s">
        <v>146</v>
      </c>
      <c r="C238" s="234" t="s">
        <v>203</v>
      </c>
      <c r="D238" s="235">
        <v>100</v>
      </c>
      <c r="E238" s="236">
        <v>1000</v>
      </c>
      <c r="F238" s="237">
        <v>0.1</v>
      </c>
      <c r="G238" s="240"/>
      <c r="H238" s="241"/>
      <c r="I238" s="239">
        <v>0.1</v>
      </c>
      <c r="J238" s="235">
        <v>1</v>
      </c>
      <c r="K238" s="236" t="s">
        <v>135</v>
      </c>
      <c r="L238" s="237" t="s">
        <v>52</v>
      </c>
    </row>
    <row r="239" spans="1:12">
      <c r="A239" s="232">
        <v>2612</v>
      </c>
      <c r="B239" s="233" t="s">
        <v>146</v>
      </c>
      <c r="C239" s="234" t="s">
        <v>204</v>
      </c>
      <c r="D239" s="235">
        <v>100</v>
      </c>
      <c r="E239" s="236">
        <v>1000</v>
      </c>
      <c r="F239" s="237">
        <v>0.1</v>
      </c>
      <c r="G239" s="240"/>
      <c r="H239" s="241"/>
      <c r="I239" s="239">
        <v>0.1</v>
      </c>
      <c r="J239" s="235">
        <v>1</v>
      </c>
      <c r="K239" s="236" t="s">
        <v>135</v>
      </c>
      <c r="L239" s="237" t="s">
        <v>52</v>
      </c>
    </row>
    <row r="240" spans="1:12">
      <c r="A240" s="232">
        <v>2613</v>
      </c>
      <c r="B240" s="233" t="s">
        <v>146</v>
      </c>
      <c r="C240" s="234" t="s">
        <v>205</v>
      </c>
      <c r="D240" s="235">
        <v>100</v>
      </c>
      <c r="E240" s="236">
        <v>1000</v>
      </c>
      <c r="F240" s="237">
        <v>0.1</v>
      </c>
      <c r="G240" s="240"/>
      <c r="H240" s="241"/>
      <c r="I240" s="239">
        <v>0.1</v>
      </c>
      <c r="J240" s="235">
        <v>1</v>
      </c>
      <c r="K240" s="236" t="s">
        <v>135</v>
      </c>
      <c r="L240" s="237" t="s">
        <v>52</v>
      </c>
    </row>
    <row r="241" spans="1:12">
      <c r="A241" s="232">
        <v>2614</v>
      </c>
      <c r="B241" s="233" t="s">
        <v>146</v>
      </c>
      <c r="C241" s="234" t="s">
        <v>206</v>
      </c>
      <c r="D241" s="235">
        <v>100</v>
      </c>
      <c r="E241" s="236">
        <v>1000</v>
      </c>
      <c r="F241" s="237">
        <v>0.1</v>
      </c>
      <c r="G241" s="240"/>
      <c r="H241" s="241"/>
      <c r="I241" s="239">
        <v>0.1</v>
      </c>
      <c r="J241" s="235">
        <v>1</v>
      </c>
      <c r="K241" s="236" t="s">
        <v>135</v>
      </c>
      <c r="L241" s="237" t="s">
        <v>52</v>
      </c>
    </row>
    <row r="242" spans="1:12">
      <c r="A242" s="232">
        <v>2615</v>
      </c>
      <c r="B242" s="233" t="s">
        <v>146</v>
      </c>
      <c r="C242" s="234" t="s">
        <v>207</v>
      </c>
      <c r="D242" s="235">
        <v>0.59</v>
      </c>
      <c r="E242" s="236">
        <v>5000</v>
      </c>
      <c r="F242" s="237">
        <v>1.18E-4</v>
      </c>
      <c r="G242" s="240"/>
      <c r="H242" s="241"/>
      <c r="I242" s="239">
        <v>1.18E-4</v>
      </c>
      <c r="J242" s="235">
        <v>0.05</v>
      </c>
      <c r="K242" s="236" t="s">
        <v>46</v>
      </c>
      <c r="L242" s="237" t="s">
        <v>52</v>
      </c>
    </row>
    <row r="243" spans="1:12">
      <c r="A243" s="232">
        <v>2616</v>
      </c>
      <c r="B243" s="233" t="s">
        <v>146</v>
      </c>
      <c r="C243" s="234" t="s">
        <v>208</v>
      </c>
      <c r="D243" s="235">
        <v>7.4</v>
      </c>
      <c r="E243" s="236">
        <v>1000</v>
      </c>
      <c r="F243" s="237">
        <v>7.4000000000000003E-3</v>
      </c>
      <c r="G243" s="240"/>
      <c r="H243" s="241"/>
      <c r="I243" s="239">
        <v>7.4000000000000003E-3</v>
      </c>
      <c r="J243" s="235">
        <v>0.05</v>
      </c>
      <c r="K243" s="236" t="s">
        <v>46</v>
      </c>
      <c r="L243" s="237" t="s">
        <v>50</v>
      </c>
    </row>
    <row r="244" spans="1:12">
      <c r="A244" s="232">
        <v>2617</v>
      </c>
      <c r="B244" s="233" t="s">
        <v>146</v>
      </c>
      <c r="C244" s="234" t="s">
        <v>209</v>
      </c>
      <c r="D244" s="235">
        <v>100</v>
      </c>
      <c r="E244" s="236">
        <v>5000</v>
      </c>
      <c r="F244" s="237">
        <v>0.02</v>
      </c>
      <c r="G244" s="238"/>
      <c r="H244" s="236"/>
      <c r="I244" s="239">
        <v>0.02</v>
      </c>
      <c r="J244" s="235">
        <v>0.05</v>
      </c>
      <c r="K244" s="236" t="s">
        <v>46</v>
      </c>
      <c r="L244" s="237" t="s">
        <v>52</v>
      </c>
    </row>
    <row r="245" spans="1:12">
      <c r="A245" s="232">
        <v>2618</v>
      </c>
      <c r="B245" s="233" t="s">
        <v>146</v>
      </c>
      <c r="C245" s="234" t="s">
        <v>210</v>
      </c>
      <c r="D245" s="235">
        <v>100</v>
      </c>
      <c r="E245" s="236">
        <v>1000</v>
      </c>
      <c r="F245" s="237">
        <v>0.1</v>
      </c>
      <c r="G245" s="238"/>
      <c r="H245" s="236"/>
      <c r="I245" s="239">
        <v>0.1</v>
      </c>
      <c r="J245" s="235">
        <v>0.05</v>
      </c>
      <c r="K245" s="236" t="s">
        <v>46</v>
      </c>
      <c r="L245" s="237" t="s">
        <v>52</v>
      </c>
    </row>
    <row r="246" spans="1:12">
      <c r="A246" s="232">
        <v>2619</v>
      </c>
      <c r="B246" s="233" t="s">
        <v>146</v>
      </c>
      <c r="C246" s="234" t="s">
        <v>211</v>
      </c>
      <c r="D246" s="235">
        <v>2.2000000000000002</v>
      </c>
      <c r="E246" s="236">
        <v>1000</v>
      </c>
      <c r="F246" s="237">
        <v>2.2000000000000001E-3</v>
      </c>
      <c r="G246" s="238"/>
      <c r="H246" s="236"/>
      <c r="I246" s="239">
        <v>2.2000000000000001E-3</v>
      </c>
      <c r="J246" s="235">
        <v>0.05</v>
      </c>
      <c r="K246" s="236" t="s">
        <v>46</v>
      </c>
      <c r="L246" s="237" t="s">
        <v>50</v>
      </c>
    </row>
    <row r="247" spans="1:12">
      <c r="A247" s="232">
        <v>2620</v>
      </c>
      <c r="B247" s="233" t="s">
        <v>146</v>
      </c>
      <c r="C247" s="234" t="s">
        <v>212</v>
      </c>
      <c r="D247" s="235">
        <v>100</v>
      </c>
      <c r="E247" s="236">
        <v>1000</v>
      </c>
      <c r="F247" s="237">
        <v>0.1</v>
      </c>
      <c r="G247" s="240">
        <v>100</v>
      </c>
      <c r="H247" s="241">
        <v>50</v>
      </c>
      <c r="I247" s="239">
        <v>2</v>
      </c>
      <c r="J247" s="235">
        <v>0.05</v>
      </c>
      <c r="K247" s="236" t="s">
        <v>46</v>
      </c>
      <c r="L247" s="237" t="s">
        <v>50</v>
      </c>
    </row>
    <row r="248" spans="1:12">
      <c r="A248" s="232">
        <v>2621</v>
      </c>
      <c r="B248" s="233" t="s">
        <v>146</v>
      </c>
      <c r="C248" s="234" t="s">
        <v>213</v>
      </c>
      <c r="D248" s="235">
        <v>100</v>
      </c>
      <c r="E248" s="236">
        <v>1000</v>
      </c>
      <c r="F248" s="237">
        <v>0.1</v>
      </c>
      <c r="G248" s="240"/>
      <c r="H248" s="241"/>
      <c r="I248" s="239">
        <v>0.1</v>
      </c>
      <c r="J248" s="235">
        <v>1</v>
      </c>
      <c r="K248" s="236" t="s">
        <v>135</v>
      </c>
      <c r="L248" s="237" t="s">
        <v>47</v>
      </c>
    </row>
    <row r="249" spans="1:12">
      <c r="A249" s="232">
        <v>2622</v>
      </c>
      <c r="B249" s="233" t="s">
        <v>146</v>
      </c>
      <c r="C249" s="234" t="s">
        <v>486</v>
      </c>
      <c r="D249" s="235">
        <v>60.2</v>
      </c>
      <c r="E249" s="236">
        <v>1000</v>
      </c>
      <c r="F249" s="237">
        <v>6.0200000000000004E-2</v>
      </c>
      <c r="G249" s="240">
        <v>1.5</v>
      </c>
      <c r="H249" s="241">
        <v>50</v>
      </c>
      <c r="I249" s="239">
        <v>0.03</v>
      </c>
      <c r="J249" s="235">
        <v>0.5</v>
      </c>
      <c r="K249" s="236" t="s">
        <v>65</v>
      </c>
      <c r="L249" s="237" t="s">
        <v>52</v>
      </c>
    </row>
    <row r="250" spans="1:12">
      <c r="A250" s="232">
        <v>2623</v>
      </c>
      <c r="B250" s="233" t="s">
        <v>146</v>
      </c>
      <c r="C250" s="234" t="s">
        <v>487</v>
      </c>
      <c r="D250" s="235">
        <v>100</v>
      </c>
      <c r="E250" s="236">
        <v>5000</v>
      </c>
      <c r="F250" s="237">
        <v>0.02</v>
      </c>
      <c r="G250" s="240"/>
      <c r="H250" s="241"/>
      <c r="I250" s="239">
        <v>0.02</v>
      </c>
      <c r="J250" s="235">
        <v>0.05</v>
      </c>
      <c r="K250" s="236" t="s">
        <v>46</v>
      </c>
      <c r="L250" s="237" t="s">
        <v>52</v>
      </c>
    </row>
    <row r="251" spans="1:12">
      <c r="A251" s="232">
        <v>2624</v>
      </c>
      <c r="B251" s="233" t="s">
        <v>146</v>
      </c>
      <c r="C251" s="234" t="s">
        <v>488</v>
      </c>
      <c r="D251" s="235">
        <v>100</v>
      </c>
      <c r="E251" s="236">
        <v>1000</v>
      </c>
      <c r="F251" s="237">
        <v>0.1</v>
      </c>
      <c r="G251" s="240"/>
      <c r="H251" s="241"/>
      <c r="I251" s="239">
        <v>0.1</v>
      </c>
      <c r="J251" s="235">
        <v>0.15</v>
      </c>
      <c r="K251" s="236" t="s">
        <v>46</v>
      </c>
      <c r="L251" s="237" t="s">
        <v>52</v>
      </c>
    </row>
    <row r="252" spans="1:12">
      <c r="A252" s="232">
        <v>2625</v>
      </c>
      <c r="B252" s="233" t="s">
        <v>146</v>
      </c>
      <c r="C252" s="234" t="s">
        <v>489</v>
      </c>
      <c r="D252" s="235">
        <v>100</v>
      </c>
      <c r="E252" s="236">
        <v>1000</v>
      </c>
      <c r="F252" s="237">
        <v>0.1</v>
      </c>
      <c r="G252" s="240"/>
      <c r="H252" s="241"/>
      <c r="I252" s="239">
        <v>0.1</v>
      </c>
      <c r="J252" s="235">
        <v>0.05</v>
      </c>
      <c r="K252" s="236" t="s">
        <v>46</v>
      </c>
      <c r="L252" s="237" t="s">
        <v>52</v>
      </c>
    </row>
    <row r="253" spans="1:12">
      <c r="A253" s="232">
        <v>2626</v>
      </c>
      <c r="B253" s="233" t="s">
        <v>146</v>
      </c>
      <c r="C253" s="234" t="s">
        <v>490</v>
      </c>
      <c r="D253" s="235">
        <v>500</v>
      </c>
      <c r="E253" s="236">
        <v>1000</v>
      </c>
      <c r="F253" s="237">
        <v>0.5</v>
      </c>
      <c r="G253" s="240">
        <v>5477</v>
      </c>
      <c r="H253" s="241">
        <v>100</v>
      </c>
      <c r="I253" s="239">
        <v>54.77</v>
      </c>
      <c r="J253" s="235">
        <v>0.05</v>
      </c>
      <c r="K253" s="236" t="s">
        <v>46</v>
      </c>
      <c r="L253" s="237" t="s">
        <v>52</v>
      </c>
    </row>
    <row r="254" spans="1:12">
      <c r="A254" s="232">
        <v>2627</v>
      </c>
      <c r="B254" s="233" t="s">
        <v>146</v>
      </c>
      <c r="C254" s="234" t="s">
        <v>491</v>
      </c>
      <c r="D254" s="235">
        <v>429</v>
      </c>
      <c r="E254" s="236">
        <v>1000</v>
      </c>
      <c r="F254" s="237">
        <v>0.42899999999999999</v>
      </c>
      <c r="G254" s="240"/>
      <c r="H254" s="241"/>
      <c r="I254" s="239">
        <v>0.42899999999999999</v>
      </c>
      <c r="J254" s="235">
        <v>0.05</v>
      </c>
      <c r="K254" s="236" t="s">
        <v>46</v>
      </c>
      <c r="L254" s="237" t="s">
        <v>52</v>
      </c>
    </row>
    <row r="255" spans="1:12">
      <c r="A255" s="232">
        <v>2628</v>
      </c>
      <c r="B255" s="233" t="s">
        <v>146</v>
      </c>
      <c r="C255" s="234" t="s">
        <v>492</v>
      </c>
      <c r="D255" s="235">
        <v>7417</v>
      </c>
      <c r="E255" s="236">
        <v>1000</v>
      </c>
      <c r="F255" s="237">
        <v>7.4169999999999998</v>
      </c>
      <c r="G255" s="240"/>
      <c r="H255" s="241"/>
      <c r="I255" s="239">
        <v>7.4169999999999998</v>
      </c>
      <c r="J255" s="235">
        <v>0.05</v>
      </c>
      <c r="K255" s="236" t="s">
        <v>46</v>
      </c>
      <c r="L255" s="237" t="s">
        <v>52</v>
      </c>
    </row>
    <row r="256" spans="1:12">
      <c r="A256" s="232">
        <v>2629</v>
      </c>
      <c r="B256" s="233" t="s">
        <v>146</v>
      </c>
      <c r="C256" s="234" t="s">
        <v>493</v>
      </c>
      <c r="D256" s="235">
        <v>100</v>
      </c>
      <c r="E256" s="236">
        <v>1000</v>
      </c>
      <c r="F256" s="237">
        <v>0.1</v>
      </c>
      <c r="G256" s="240">
        <v>1</v>
      </c>
      <c r="H256" s="241">
        <v>50</v>
      </c>
      <c r="I256" s="239">
        <v>0.02</v>
      </c>
      <c r="J256" s="235">
        <v>0.05</v>
      </c>
      <c r="K256" s="236" t="s">
        <v>46</v>
      </c>
      <c r="L256" s="237" t="s">
        <v>50</v>
      </c>
    </row>
    <row r="257" spans="1:12">
      <c r="A257" s="232">
        <v>2630</v>
      </c>
      <c r="B257" s="233" t="s">
        <v>146</v>
      </c>
      <c r="C257" s="234" t="s">
        <v>616</v>
      </c>
      <c r="D257" s="235">
        <v>100</v>
      </c>
      <c r="E257" s="236">
        <v>1000</v>
      </c>
      <c r="F257" s="237">
        <v>0.1</v>
      </c>
      <c r="G257" s="240">
        <v>8.8000000000000005E-3</v>
      </c>
      <c r="H257" s="241">
        <v>10</v>
      </c>
      <c r="I257" s="239">
        <v>8.8000000000000003E-4</v>
      </c>
      <c r="J257" s="235">
        <v>1</v>
      </c>
      <c r="K257" s="236" t="s">
        <v>135</v>
      </c>
      <c r="L257" s="237" t="s">
        <v>52</v>
      </c>
    </row>
    <row r="258" spans="1:12">
      <c r="A258" s="232">
        <v>2631</v>
      </c>
      <c r="B258" s="233" t="s">
        <v>146</v>
      </c>
      <c r="C258" s="234" t="s">
        <v>494</v>
      </c>
      <c r="D258" s="235">
        <v>100</v>
      </c>
      <c r="E258" s="236">
        <v>5000</v>
      </c>
      <c r="F258" s="237">
        <v>0.02</v>
      </c>
      <c r="G258" s="238">
        <v>1.1199999999999999E-3</v>
      </c>
      <c r="H258" s="236">
        <v>10</v>
      </c>
      <c r="I258" s="239">
        <v>1.1199999999999998E-4</v>
      </c>
      <c r="J258" s="235">
        <v>0.05</v>
      </c>
      <c r="K258" s="236" t="s">
        <v>46</v>
      </c>
      <c r="L258" s="237" t="s">
        <v>47</v>
      </c>
    </row>
    <row r="259" spans="1:12">
      <c r="A259" s="254">
        <v>2632</v>
      </c>
      <c r="B259" s="255" t="s">
        <v>146</v>
      </c>
      <c r="C259" s="256" t="s">
        <v>495</v>
      </c>
      <c r="D259" s="257">
        <v>100</v>
      </c>
      <c r="E259" s="258">
        <v>1000</v>
      </c>
      <c r="F259" s="259">
        <v>0.1</v>
      </c>
      <c r="G259" s="268">
        <v>100</v>
      </c>
      <c r="H259" s="258">
        <v>50</v>
      </c>
      <c r="I259" s="262">
        <v>2</v>
      </c>
      <c r="J259" s="257">
        <v>1</v>
      </c>
      <c r="K259" s="258" t="s">
        <v>135</v>
      </c>
      <c r="L259" s="237" t="s">
        <v>47</v>
      </c>
    </row>
    <row r="260" spans="1:12">
      <c r="A260" s="254">
        <v>2633</v>
      </c>
      <c r="B260" s="255" t="s">
        <v>146</v>
      </c>
      <c r="C260" s="256" t="s">
        <v>496</v>
      </c>
      <c r="D260" s="257">
        <v>1</v>
      </c>
      <c r="E260" s="258">
        <v>10000</v>
      </c>
      <c r="F260" s="259">
        <v>1E-4</v>
      </c>
      <c r="G260" s="268"/>
      <c r="H260" s="258"/>
      <c r="I260" s="262">
        <v>1E-4</v>
      </c>
      <c r="J260" s="257">
        <v>0.5</v>
      </c>
      <c r="K260" s="258" t="s">
        <v>46</v>
      </c>
      <c r="L260" s="259" t="s">
        <v>52</v>
      </c>
    </row>
    <row r="261" spans="1:12">
      <c r="A261" s="254">
        <v>2634</v>
      </c>
      <c r="B261" s="255" t="s">
        <v>146</v>
      </c>
      <c r="C261" s="256" t="s">
        <v>497</v>
      </c>
      <c r="D261" s="257">
        <v>54</v>
      </c>
      <c r="E261" s="258">
        <v>1000</v>
      </c>
      <c r="F261" s="259">
        <v>5.3999999999999999E-2</v>
      </c>
      <c r="G261" s="268">
        <v>100</v>
      </c>
      <c r="H261" s="258">
        <v>50</v>
      </c>
      <c r="I261" s="262">
        <v>2</v>
      </c>
      <c r="J261" s="257">
        <v>0.05</v>
      </c>
      <c r="K261" s="258" t="s">
        <v>46</v>
      </c>
      <c r="L261" s="259" t="s">
        <v>52</v>
      </c>
    </row>
    <row r="262" spans="1:12">
      <c r="A262" s="254">
        <v>2635</v>
      </c>
      <c r="B262" s="255" t="s">
        <v>146</v>
      </c>
      <c r="C262" s="256" t="s">
        <v>498</v>
      </c>
      <c r="D262" s="257">
        <v>100</v>
      </c>
      <c r="E262" s="258">
        <v>10000</v>
      </c>
      <c r="F262" s="259">
        <v>0.01</v>
      </c>
      <c r="G262" s="268"/>
      <c r="H262" s="258"/>
      <c r="I262" s="262">
        <v>0.01</v>
      </c>
      <c r="J262" s="257">
        <v>1</v>
      </c>
      <c r="K262" s="258" t="s">
        <v>135</v>
      </c>
      <c r="L262" s="259" t="s">
        <v>52</v>
      </c>
    </row>
    <row r="263" spans="1:12">
      <c r="A263" s="254">
        <v>2636</v>
      </c>
      <c r="B263" s="255" t="s">
        <v>146</v>
      </c>
      <c r="C263" s="256" t="s">
        <v>499</v>
      </c>
      <c r="D263" s="257">
        <v>100</v>
      </c>
      <c r="E263" s="258">
        <v>1000</v>
      </c>
      <c r="F263" s="259">
        <v>0.1</v>
      </c>
      <c r="G263" s="268"/>
      <c r="H263" s="258"/>
      <c r="I263" s="262">
        <v>0.1</v>
      </c>
      <c r="J263" s="257">
        <v>0.05</v>
      </c>
      <c r="K263" s="258" t="s">
        <v>46</v>
      </c>
      <c r="L263" s="259" t="s">
        <v>52</v>
      </c>
    </row>
    <row r="264" spans="1:12">
      <c r="A264" s="254">
        <v>2637</v>
      </c>
      <c r="B264" s="255" t="s">
        <v>146</v>
      </c>
      <c r="C264" s="256" t="s">
        <v>500</v>
      </c>
      <c r="D264" s="257">
        <v>10.7</v>
      </c>
      <c r="E264" s="258">
        <v>1000</v>
      </c>
      <c r="F264" s="259">
        <v>1.0699999999999999E-2</v>
      </c>
      <c r="G264" s="268"/>
      <c r="H264" s="258"/>
      <c r="I264" s="262">
        <v>1.0699999999999999E-2</v>
      </c>
      <c r="J264" s="257">
        <v>0.05</v>
      </c>
      <c r="K264" s="258" t="s">
        <v>46</v>
      </c>
      <c r="L264" s="259" t="s">
        <v>52</v>
      </c>
    </row>
    <row r="265" spans="1:12">
      <c r="A265" s="254">
        <v>2638</v>
      </c>
      <c r="B265" s="255" t="s">
        <v>146</v>
      </c>
      <c r="C265" s="256" t="s">
        <v>501</v>
      </c>
      <c r="D265" s="257">
        <v>100</v>
      </c>
      <c r="E265" s="258">
        <v>1000</v>
      </c>
      <c r="F265" s="259">
        <v>0.1</v>
      </c>
      <c r="G265" s="268"/>
      <c r="H265" s="258"/>
      <c r="I265" s="262">
        <v>0.1</v>
      </c>
      <c r="J265" s="257">
        <v>0.05</v>
      </c>
      <c r="K265" s="258" t="s">
        <v>46</v>
      </c>
      <c r="L265" s="259" t="s">
        <v>52</v>
      </c>
    </row>
    <row r="266" spans="1:12">
      <c r="A266" s="254">
        <v>2639</v>
      </c>
      <c r="B266" s="255" t="s">
        <v>146</v>
      </c>
      <c r="C266" s="256" t="s">
        <v>502</v>
      </c>
      <c r="D266" s="257">
        <v>1000</v>
      </c>
      <c r="E266" s="258">
        <v>1000</v>
      </c>
      <c r="F266" s="259">
        <v>1</v>
      </c>
      <c r="G266" s="268"/>
      <c r="H266" s="258"/>
      <c r="I266" s="262">
        <v>1</v>
      </c>
      <c r="J266" s="257">
        <v>0.05</v>
      </c>
      <c r="K266" s="258" t="s">
        <v>46</v>
      </c>
      <c r="L266" s="259" t="s">
        <v>52</v>
      </c>
    </row>
    <row r="267" spans="1:12">
      <c r="A267" s="254">
        <v>2640</v>
      </c>
      <c r="B267" s="255" t="s">
        <v>146</v>
      </c>
      <c r="C267" s="256" t="s">
        <v>503</v>
      </c>
      <c r="D267" s="257">
        <v>0.35699999999999998</v>
      </c>
      <c r="E267" s="258">
        <v>1000</v>
      </c>
      <c r="F267" s="259">
        <v>3.57E-4</v>
      </c>
      <c r="G267" s="268">
        <v>7.1499999999999994E-2</v>
      </c>
      <c r="H267" s="258">
        <v>100</v>
      </c>
      <c r="I267" s="262">
        <v>7.1499999999999992E-4</v>
      </c>
      <c r="J267" s="257">
        <v>1</v>
      </c>
      <c r="K267" s="258" t="s">
        <v>52</v>
      </c>
      <c r="L267" s="259" t="s">
        <v>52</v>
      </c>
    </row>
    <row r="268" spans="1:12">
      <c r="A268" s="254">
        <v>2641</v>
      </c>
      <c r="B268" s="255" t="s">
        <v>146</v>
      </c>
      <c r="C268" s="256" t="s">
        <v>504</v>
      </c>
      <c r="D268" s="257">
        <v>100</v>
      </c>
      <c r="E268" s="258">
        <v>1000</v>
      </c>
      <c r="F268" s="259">
        <v>0.1</v>
      </c>
      <c r="G268" s="268"/>
      <c r="H268" s="258"/>
      <c r="I268" s="262">
        <v>0.1</v>
      </c>
      <c r="J268" s="257">
        <v>0.05</v>
      </c>
      <c r="K268" s="258" t="s">
        <v>46</v>
      </c>
      <c r="L268" s="259" t="s">
        <v>52</v>
      </c>
    </row>
    <row r="269" spans="1:12">
      <c r="A269" s="254">
        <v>2642</v>
      </c>
      <c r="B269" s="255" t="s">
        <v>146</v>
      </c>
      <c r="C269" s="256" t="s">
        <v>617</v>
      </c>
      <c r="D269" s="257">
        <v>1199</v>
      </c>
      <c r="E269" s="258">
        <v>5000</v>
      </c>
      <c r="F269" s="259">
        <v>0.23980000000000001</v>
      </c>
      <c r="G269" s="268"/>
      <c r="H269" s="258"/>
      <c r="I269" s="262">
        <v>0.23980000000000001</v>
      </c>
      <c r="J269" s="257">
        <v>0.15</v>
      </c>
      <c r="K269" s="258" t="s">
        <v>46</v>
      </c>
      <c r="L269" s="259" t="s">
        <v>52</v>
      </c>
    </row>
    <row r="270" spans="1:12">
      <c r="A270" s="254">
        <v>2643</v>
      </c>
      <c r="B270" s="255" t="s">
        <v>146</v>
      </c>
      <c r="C270" s="256" t="s">
        <v>505</v>
      </c>
      <c r="D270" s="257">
        <v>100</v>
      </c>
      <c r="E270" s="258">
        <v>1000</v>
      </c>
      <c r="F270" s="259">
        <v>0.1</v>
      </c>
      <c r="G270" s="268"/>
      <c r="H270" s="258"/>
      <c r="I270" s="262">
        <v>0.1</v>
      </c>
      <c r="J270" s="257">
        <v>0.05</v>
      </c>
      <c r="K270" s="258" t="s">
        <v>46</v>
      </c>
      <c r="L270" s="259" t="s">
        <v>52</v>
      </c>
    </row>
    <row r="271" spans="1:12">
      <c r="A271" s="254">
        <v>2644</v>
      </c>
      <c r="B271" s="255" t="s">
        <v>146</v>
      </c>
      <c r="C271" s="256" t="s">
        <v>506</v>
      </c>
      <c r="D271" s="257">
        <v>100</v>
      </c>
      <c r="E271" s="258">
        <v>1000</v>
      </c>
      <c r="F271" s="259">
        <v>0.1</v>
      </c>
      <c r="G271" s="268"/>
      <c r="H271" s="258"/>
      <c r="I271" s="262">
        <v>0.1</v>
      </c>
      <c r="J271" s="257">
        <v>0.05</v>
      </c>
      <c r="K271" s="258" t="s">
        <v>46</v>
      </c>
      <c r="L271" s="259" t="s">
        <v>50</v>
      </c>
    </row>
    <row r="272" spans="1:12">
      <c r="A272" s="254">
        <v>2645</v>
      </c>
      <c r="B272" s="255" t="s">
        <v>146</v>
      </c>
      <c r="C272" s="256" t="s">
        <v>507</v>
      </c>
      <c r="D272" s="257">
        <v>50</v>
      </c>
      <c r="E272" s="258">
        <v>5000</v>
      </c>
      <c r="F272" s="259">
        <v>0.01</v>
      </c>
      <c r="G272" s="268"/>
      <c r="H272" s="258"/>
      <c r="I272" s="262">
        <v>0.01</v>
      </c>
      <c r="J272" s="257">
        <v>0.05</v>
      </c>
      <c r="K272" s="258" t="s">
        <v>46</v>
      </c>
      <c r="L272" s="259" t="s">
        <v>52</v>
      </c>
    </row>
    <row r="273" spans="1:12" ht="13.5" thickBot="1">
      <c r="A273" s="244">
        <v>2646</v>
      </c>
      <c r="B273" s="245" t="s">
        <v>146</v>
      </c>
      <c r="C273" s="246" t="s">
        <v>508</v>
      </c>
      <c r="D273" s="247">
        <v>100</v>
      </c>
      <c r="E273" s="248">
        <v>1000</v>
      </c>
      <c r="F273" s="249">
        <v>0.1</v>
      </c>
      <c r="G273" s="263">
        <v>100</v>
      </c>
      <c r="H273" s="264">
        <v>50</v>
      </c>
      <c r="I273" s="251">
        <v>2</v>
      </c>
      <c r="J273" s="247">
        <v>0.05</v>
      </c>
      <c r="K273" s="248" t="s">
        <v>46</v>
      </c>
      <c r="L273" s="249" t="s">
        <v>52</v>
      </c>
    </row>
  </sheetData>
  <sheetProtection algorithmName="SHA-512" hashValue="D/DN4QtVi4G9TPSqekkbgYuIWUdDZCt9xhZTZJ5Y/XfWoE3C4vJircf8DsDb7QbfBV6HUVQK4hbFpyAE0zssMg==" saltValue="jsnbnhbUWceWribRJAIvfQ==" spinCount="100000" sheet="1" objects="1" scenarios="1"/>
  <mergeCells count="13">
    <mergeCell ref="A4:C4"/>
    <mergeCell ref="D4:F4"/>
    <mergeCell ref="G4:I4"/>
    <mergeCell ref="J4:L4"/>
    <mergeCell ref="L5:L7"/>
    <mergeCell ref="G5:G7"/>
    <mergeCell ref="D5:D7"/>
    <mergeCell ref="E5:E7"/>
    <mergeCell ref="F5:F7"/>
    <mergeCell ref="J5:J7"/>
    <mergeCell ref="K5:K7"/>
    <mergeCell ref="I5:I7"/>
    <mergeCell ref="H5:H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CEAACC6EAA3A4594D7AE8916DBFFDB" ma:contentTypeVersion="6" ma:contentTypeDescription="Crea un document nou" ma:contentTypeScope="" ma:versionID="d56dd138a47437faa587ac96b89fa1be">
  <xsd:schema xmlns:xsd="http://www.w3.org/2001/XMLSchema" xmlns:xs="http://www.w3.org/2001/XMLSchema" xmlns:p="http://schemas.microsoft.com/office/2006/metadata/properties" xmlns:ns2="2cc65c86-8842-4aee-9643-e6b8d3bf5c88" xmlns:ns3="ab0c294e-a10a-42ab-86c7-9e50b6a06f5a" targetNamespace="http://schemas.microsoft.com/office/2006/metadata/properties" ma:root="true" ma:fieldsID="031208e18e4aeab4cc80f52c1acfdd93" ns2:_="" ns3:_="">
    <xsd:import namespace="2cc65c86-8842-4aee-9643-e6b8d3bf5c88"/>
    <xsd:import namespace="ab0c294e-a10a-42ab-86c7-9e50b6a06f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65c86-8842-4aee-9643-e6b8d3bf5c88"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c294e-a10a-42ab-86c7-9e50b6a06f5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0D4D07-E866-4376-A8E3-8AFDB2911A94}">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b0c294e-a10a-42ab-86c7-9e50b6a06f5a"/>
    <ds:schemaRef ds:uri="2cc65c86-8842-4aee-9643-e6b8d3bf5c88"/>
    <ds:schemaRef ds:uri="http://www.w3.org/XML/1998/namespace"/>
    <ds:schemaRef ds:uri="http://purl.org/dc/dcmitype/"/>
  </ds:schemaRefs>
</ds:datastoreItem>
</file>

<file path=customXml/itemProps2.xml><?xml version="1.0" encoding="utf-8"?>
<ds:datastoreItem xmlns:ds="http://schemas.openxmlformats.org/officeDocument/2006/customXml" ds:itemID="{EB9C0DBA-E004-4AC2-B6BC-8A24E73A1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65c86-8842-4aee-9643-e6b8d3bf5c88"/>
    <ds:schemaRef ds:uri="ab0c294e-a10a-42ab-86c7-9e50b6a06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4AF5C8-F518-4F8C-897E-EFEFD417F4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11</vt:i4>
      </vt:variant>
      <vt:variant>
        <vt:lpstr>Navngivne områder</vt:lpstr>
      </vt:variant>
      <vt:variant>
        <vt:i4>4</vt:i4>
      </vt:variant>
    </vt:vector>
  </HeadingPairs>
  <TitlesOfParts>
    <vt:vector size="15" baseType="lpstr">
      <vt:lpstr>Confirmation</vt:lpstr>
      <vt:lpstr>Product formulation</vt:lpstr>
      <vt:lpstr>Ingoing substances</vt:lpstr>
      <vt:lpstr>Rinse-off - DID</vt:lpstr>
      <vt:lpstr>Results 1&amp;2</vt:lpstr>
      <vt:lpstr>Results 4 Rinse-off</vt:lpstr>
      <vt:lpstr>Results 5</vt:lpstr>
      <vt:lpstr>Declaration-Rinse-off products</vt:lpstr>
      <vt:lpstr>2023 DID-list_Part A</vt:lpstr>
      <vt:lpstr>2023 DID-list_Part B</vt:lpstr>
      <vt:lpstr>Hoja2</vt:lpstr>
      <vt:lpstr>leave</vt:lpstr>
      <vt:lpstr>rinse</vt:lpstr>
      <vt:lpstr>Trade_name</vt:lpstr>
      <vt:lpstr>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Rosa Riera</dc:creator>
  <cp:keywords/>
  <dc:description/>
  <cp:lastModifiedBy>Charlotte Wedel Friis</cp:lastModifiedBy>
  <cp:revision/>
  <dcterms:created xsi:type="dcterms:W3CDTF">2017-01-09T10:51:05Z</dcterms:created>
  <dcterms:modified xsi:type="dcterms:W3CDTF">2024-07-19T08:27:34Z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0x010100E6CEAACC6EAA3A4594D7AE8916DBFFDB</vt:lpwstr>
  </property>
</Properties>
</file>